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92" firstSheet="5" activeTab="8"/>
  </bookViews>
  <sheets>
    <sheet name="Revenue Implications" sheetId="1" state="hidden" r:id="rId1"/>
    <sheet name="Comp Forecast to November Posit" sheetId="2" state="hidden" r:id="rId2"/>
    <sheet name="0607 Forecast Programme" sheetId="3" r:id="rId3"/>
    <sheet name="Resources" sheetId="4" r:id="rId4"/>
    <sheet name="Children &amp; Families" sheetId="5" r:id="rId5"/>
    <sheet name="Environment &amp; Culture" sheetId="6" r:id="rId6"/>
    <sheet name="Housing &amp; CC Adults" sheetId="7" r:id="rId7"/>
    <sheet name="Housing &amp; CC Housing" sheetId="8" r:id="rId8"/>
    <sheet name="Finance and Corporate Resources" sheetId="9" r:id="rId9"/>
  </sheets>
  <definedNames>
    <definedName name="_xlnm.Print_Area" localSheetId="2">'0607 Forecast Programme'!$A$1:$L$107</definedName>
    <definedName name="_xlnm.Print_Area" localSheetId="4">'Children &amp; Families'!$A$1:$L$76</definedName>
    <definedName name="_xlnm.Print_Titles" localSheetId="4">'Children &amp; Families'!$5:$9</definedName>
    <definedName name="_xlnm.Print_Titles" localSheetId="5">'Environment &amp; Culture'!$5:$9</definedName>
    <definedName name="_xlnm.Print_Titles" localSheetId="6">'Housing &amp; CC Adults'!$5:$9</definedName>
  </definedNames>
  <calcPr fullCalcOnLoad="1"/>
</workbook>
</file>

<file path=xl/sharedStrings.xml><?xml version="1.0" encoding="utf-8"?>
<sst xmlns="http://schemas.openxmlformats.org/spreadsheetml/2006/main" count="992" uniqueCount="297">
  <si>
    <t>2004/05</t>
  </si>
  <si>
    <t>2005/06</t>
  </si>
  <si>
    <t>2006/07</t>
  </si>
  <si>
    <t>Programme Details</t>
  </si>
  <si>
    <t>Budget</t>
  </si>
  <si>
    <t>£000</t>
  </si>
  <si>
    <t>RESOURCES:</t>
  </si>
  <si>
    <t>Capital Funding Account</t>
  </si>
  <si>
    <t>Capital Receipts in Year</t>
  </si>
  <si>
    <t>Total Resources</t>
  </si>
  <si>
    <t>EXPENDITURE:</t>
  </si>
  <si>
    <t>Education, Arts and Libraries:</t>
  </si>
  <si>
    <t xml:space="preserve"> Total Educ, Arts and Libs</t>
  </si>
  <si>
    <t>Environment :</t>
  </si>
  <si>
    <t>Total Environment</t>
  </si>
  <si>
    <t>Social Services:</t>
  </si>
  <si>
    <t>Total Social Services</t>
  </si>
  <si>
    <t>New Units</t>
  </si>
  <si>
    <t>ALMO</t>
  </si>
  <si>
    <t>Total Housing</t>
  </si>
  <si>
    <t>Corporate Services:</t>
  </si>
  <si>
    <t>Total Corporate Services</t>
  </si>
  <si>
    <t>Total Service Expenditure</t>
  </si>
  <si>
    <t>Central Items:</t>
  </si>
  <si>
    <t>Retention's</t>
  </si>
  <si>
    <t>Deferred Purchase</t>
  </si>
  <si>
    <t>Overall Total Expenditure</t>
  </si>
  <si>
    <t>(Surplus)/Deficit</t>
  </si>
  <si>
    <t>PSRSG and DFG council</t>
  </si>
  <si>
    <t>Supported Borrowing - General Fund:</t>
  </si>
  <si>
    <t>Supported Borrowing - Housing Revenue Account:</t>
  </si>
  <si>
    <t>Unsupported Borrowing - Housing Revenue Account:</t>
  </si>
  <si>
    <t>Grant Funded Schemes</t>
  </si>
  <si>
    <t>General Fund</t>
  </si>
  <si>
    <t>Housing Revenue Account</t>
  </si>
  <si>
    <t>Total Central Items</t>
  </si>
  <si>
    <t>Investment Plan</t>
  </si>
  <si>
    <t>2007/08</t>
  </si>
  <si>
    <t xml:space="preserve">Estate Access Corridor </t>
  </si>
  <si>
    <t>RESOURCES</t>
  </si>
  <si>
    <t>Total Expenditure</t>
  </si>
  <si>
    <t>FORECAST CAPITAL  PROGRAMME  2005/06 &amp; FUTURE YEARS</t>
  </si>
  <si>
    <t>Revised</t>
  </si>
  <si>
    <t>2004/05 Capital Programme (Surplus)/Deficit Carry Fwd</t>
  </si>
  <si>
    <t>Agreed Unsupported Borrowing - General Fund</t>
  </si>
  <si>
    <t>Housing: General Fund</t>
  </si>
  <si>
    <t>South Kilburn - Councils Contribution</t>
  </si>
  <si>
    <t>Central Government - SCE (R)</t>
  </si>
  <si>
    <t>Central Government - SCE (C)</t>
  </si>
  <si>
    <t>Environment Grant Income</t>
  </si>
  <si>
    <t>ALMO Round 2 - Year 3</t>
  </si>
  <si>
    <t>ALMO Round 2 - Top Up</t>
  </si>
  <si>
    <t xml:space="preserve">Disabled Facilities Grant </t>
  </si>
  <si>
    <t xml:space="preserve">South Kilburn Regeneration </t>
  </si>
  <si>
    <t>ALMO Round 4</t>
  </si>
  <si>
    <t>Approved Capitalisation of Revenue Expenditure</t>
  </si>
  <si>
    <t>Unsupported Borrowing (Self Funded - Schools Partnering Scheme)</t>
  </si>
  <si>
    <t>Schools Partnering Scheme (Self Funded)</t>
  </si>
  <si>
    <t>Unsupported Borrowing (Self Funded Schemes)</t>
  </si>
  <si>
    <t>Self Funded Schemes</t>
  </si>
  <si>
    <t>S106 Funding</t>
  </si>
  <si>
    <t xml:space="preserve">Local Authority Social Housing Grant Transitional Grant </t>
  </si>
  <si>
    <t>Inspections of Non-Housing Property</t>
  </si>
  <si>
    <t>2008/09</t>
  </si>
  <si>
    <t>Revenue Contributions to Capital Outlay</t>
  </si>
  <si>
    <t>Chalkhill Redevelopment</t>
  </si>
  <si>
    <t>Provision for Liabilities</t>
  </si>
  <si>
    <t>Grange Road Acquisition</t>
  </si>
  <si>
    <t>Surestart</t>
  </si>
  <si>
    <t>Elm Road Car Park Lease</t>
  </si>
  <si>
    <t>Property Leases (Slippage)</t>
  </si>
  <si>
    <t>Pavements and Roads</t>
  </si>
  <si>
    <t>CCTV at Kensal Rise</t>
  </si>
  <si>
    <t>Lighting Outside PFI</t>
  </si>
  <si>
    <t>Streetscene (Transport &amp; Parking BVR)</t>
  </si>
  <si>
    <t xml:space="preserve">Organic Waste Collection Service </t>
  </si>
  <si>
    <t>Gulley Maintenance Vehicles</t>
  </si>
  <si>
    <t>Cycle and Changing Facilities at Offices</t>
  </si>
  <si>
    <t>Health &amp; Safety</t>
  </si>
  <si>
    <t>Minor Works</t>
  </si>
  <si>
    <t>Learning Disabilities Kiosk Project</t>
  </si>
  <si>
    <t>Albert Road</t>
  </si>
  <si>
    <t>127 High Road</t>
  </si>
  <si>
    <t>Disability Discrimination Act Works</t>
  </si>
  <si>
    <t xml:space="preserve">Customer Relationship Management System </t>
  </si>
  <si>
    <t>Town Hall (Grand Hall) Stage Lighting</t>
  </si>
  <si>
    <t>Brent House One Stop Shops Refurbishment</t>
  </si>
  <si>
    <t>Harlesden OSS - Ground Floor Extention to Building</t>
  </si>
  <si>
    <t>Project Management - to provide additional resources to Service Areas</t>
  </si>
  <si>
    <t xml:space="preserve">Asbestos Surveys </t>
  </si>
  <si>
    <t>Electronic Document Management</t>
  </si>
  <si>
    <t>Quality House Window Replacement</t>
  </si>
  <si>
    <t>Security Measures in Town Hall &amp; 3 Muniport Sites</t>
  </si>
  <si>
    <t>Cabling to Disaster Site at Gwyneth Rickus Building</t>
  </si>
  <si>
    <t>Financial Systems Integration</t>
  </si>
  <si>
    <t>ALMO Works and Initiatives</t>
  </si>
  <si>
    <t>Contingency for 2005/06 Schemes</t>
  </si>
  <si>
    <t xml:space="preserve">AMP's and Asbestos Survey Fees </t>
  </si>
  <si>
    <t>Wembley Manor Re-build and Expansion</t>
  </si>
  <si>
    <t>SEN Schemes</t>
  </si>
  <si>
    <t>School Loan Scheme</t>
  </si>
  <si>
    <t>Access Initiatives</t>
  </si>
  <si>
    <t>Asbestos Works</t>
  </si>
  <si>
    <t>Chalkhill</t>
  </si>
  <si>
    <t>BSF Capacity Building</t>
  </si>
  <si>
    <t>Nov Exec</t>
  </si>
  <si>
    <t>Variance</t>
  </si>
  <si>
    <t>First Reading</t>
  </si>
  <si>
    <t>Report</t>
  </si>
  <si>
    <t>Unsupported Borrowing required to meet Budget Deficit</t>
  </si>
  <si>
    <t>Summary of Position</t>
  </si>
  <si>
    <t xml:space="preserve">The tables below demonstrate the revenue implications of the unsupported borrowing included in the forecast capital programme. </t>
  </si>
  <si>
    <t>General Fund Capital Programme</t>
  </si>
  <si>
    <t>£'000</t>
  </si>
  <si>
    <t>Agreed Unsupported Borrowing £14.259m</t>
  </si>
  <si>
    <t>Of which Self Funded £0.417m</t>
  </si>
  <si>
    <t>Agreed Unsupported Borrowing £12.927m</t>
  </si>
  <si>
    <t>Agreed Unsupported Borrowing £13.134m</t>
  </si>
  <si>
    <t>Agreed Unsupported Borrowing £12.300m</t>
  </si>
  <si>
    <t>Agreed Unsupported Borrowing £0m</t>
  </si>
  <si>
    <t>Cumulative Total</t>
  </si>
  <si>
    <t>Housing Revenue Account Capital Programme</t>
  </si>
  <si>
    <t>The charges to revenue accounts represent the estimated interest payable on the borrowing required to</t>
  </si>
  <si>
    <t>balance the capital programme, ie those capital expenditure items not supported by central government</t>
  </si>
  <si>
    <t>funding, grants from external bodies and income derived from capital receipts.</t>
  </si>
  <si>
    <t>The financing charges that have been applied to unsupported capital borrowing are as follows:-</t>
  </si>
  <si>
    <t>Year 1    3.4%</t>
  </si>
  <si>
    <t>Year 2   10.6%</t>
  </si>
  <si>
    <t>Year 3   10.5%</t>
  </si>
  <si>
    <t xml:space="preserve">These rates have amended the guidance laid down in the 2004/2005 Budget Preparation Paper. The </t>
  </si>
  <si>
    <t xml:space="preserve">principle element of the charge is based on the Minimum Revenue Provision requirement laid down in  </t>
  </si>
  <si>
    <t xml:space="preserve">accounting practices, which is currently set at 4%, with the balance relating to the interest charge which is </t>
  </si>
  <si>
    <t xml:space="preserve">based on the Consolidated Loan Pool Rate, this takes into account the interest rates on all principle sums </t>
  </si>
  <si>
    <t xml:space="preserve">owing by the Council. The rate of 3.4% in Year 1 is based on a half year charge for interest and no </t>
  </si>
  <si>
    <t>repayment of principle.</t>
  </si>
  <si>
    <t>Surplus carried forward</t>
  </si>
  <si>
    <t>Deficit (to be funded)</t>
  </si>
  <si>
    <t>Capital Receipts in Year - Right to Buy Properties</t>
  </si>
  <si>
    <t xml:space="preserve">                                      Former LRB/Ex-GLC Properties</t>
  </si>
  <si>
    <t xml:space="preserve">                                      Corporate Property Disposals</t>
  </si>
  <si>
    <t>Bridgepark Works</t>
  </si>
  <si>
    <t>Individual Schemes</t>
  </si>
  <si>
    <t>Programme Works</t>
  </si>
  <si>
    <t xml:space="preserve">Credit Card Hotline Automation - Software package and set up costs </t>
  </si>
  <si>
    <t>Libraries</t>
  </si>
  <si>
    <t>Non- School Schemes</t>
  </si>
  <si>
    <t>Transforming Youth Work</t>
  </si>
  <si>
    <t>Youth Service</t>
  </si>
  <si>
    <t>Total Non School Schemes</t>
  </si>
  <si>
    <t>School Programme Works</t>
  </si>
  <si>
    <t>Individual School Schemes</t>
  </si>
  <si>
    <t>Total School Schemes</t>
  </si>
  <si>
    <t xml:space="preserve">Hut Replacement Programme: </t>
  </si>
  <si>
    <t>Preston Park</t>
  </si>
  <si>
    <t>Uxendon Manor</t>
  </si>
  <si>
    <t>Wembley Manor Inf/Jnr</t>
  </si>
  <si>
    <t>Electrical</t>
  </si>
  <si>
    <t>Mechanical</t>
  </si>
  <si>
    <t>Roofing</t>
  </si>
  <si>
    <t>Playgrounds</t>
  </si>
  <si>
    <t>Toilets</t>
  </si>
  <si>
    <t>Windows</t>
  </si>
  <si>
    <t>Devolved Formula Capital</t>
  </si>
  <si>
    <t>Stadium Access Corridor</t>
  </si>
  <si>
    <t>Stadium Access Corridor Funding (SRB/LDA/S106)</t>
  </si>
  <si>
    <t xml:space="preserve">Sixth Form Provision </t>
  </si>
  <si>
    <t>Kitchen Equipment</t>
  </si>
  <si>
    <t>Additional Asset Management Plan Priorities 1 &amp; 2 - 2005/06 and Future Years</t>
  </si>
  <si>
    <t>Donnington - Remodelling</t>
  </si>
  <si>
    <t>Gladstone Park - Sports Hall</t>
  </si>
  <si>
    <t>Kingsbury Green - Extension</t>
  </si>
  <si>
    <t>Lyon Park - Phase 1 &amp; 2 Expansion</t>
  </si>
  <si>
    <t>Wykeham - Remodelling</t>
  </si>
  <si>
    <t>Wembley High - Extension &amp; Adaptations</t>
  </si>
  <si>
    <t>Capital</t>
  </si>
  <si>
    <t>Programme</t>
  </si>
  <si>
    <t>New Opportunities Fund Works (inc' Chalkhill Sports Hall)</t>
  </si>
  <si>
    <t>Park Lane</t>
  </si>
  <si>
    <t>Asset Management Plan:</t>
  </si>
  <si>
    <t>Hut Replacement Works to be undertaken from Prioritised List</t>
  </si>
  <si>
    <t>Grange Museum Relocation</t>
  </si>
  <si>
    <t>Mechanised Street Sweeping Vehicles</t>
  </si>
  <si>
    <t>Highways:</t>
  </si>
  <si>
    <t>South Kilburn Development</t>
  </si>
  <si>
    <t>General Fund - Resources</t>
  </si>
  <si>
    <t>Housing Revenue Account - Resources</t>
  </si>
  <si>
    <t xml:space="preserve">Devolved Capital  </t>
  </si>
  <si>
    <t>2005/06 and Future Years Capital Programme</t>
  </si>
  <si>
    <t>Chalkhill Account Reserve (Funding Housing)</t>
  </si>
  <si>
    <t>Data Network Upgrade</t>
  </si>
  <si>
    <t>FORECAST CAPITAL  PROGRAMME  2005/06 TO 2008/09</t>
  </si>
  <si>
    <t>ITP Schemes (Carry forward from 2003/04)</t>
  </si>
  <si>
    <t xml:space="preserve">General Fund - Children and Families Capital Programme </t>
  </si>
  <si>
    <t>General Fund - Environment &amp; Culture Capital Programme</t>
  </si>
  <si>
    <t>Environment Individual Schemes</t>
  </si>
  <si>
    <t>Environment Programme Works</t>
  </si>
  <si>
    <t>Total Environment Capital Programme</t>
  </si>
  <si>
    <t>Culture Individual Schemes</t>
  </si>
  <si>
    <t>Total Culture Capital Programme</t>
  </si>
  <si>
    <t>Total Environment &amp; Culture Capital Programme</t>
  </si>
  <si>
    <t>Total Schools and Non-Schools Capital Programme</t>
  </si>
  <si>
    <t>Total Children &amp; Families Forecast Capital Programme</t>
  </si>
  <si>
    <t>Total Housing Capital Programme</t>
  </si>
  <si>
    <t>Housing Schemes</t>
  </si>
  <si>
    <t>Customer Services Schemes</t>
  </si>
  <si>
    <t>Total Customer Services Capital Programme</t>
  </si>
  <si>
    <t>Total Finance &amp; Corporate Resources Capital Programme</t>
  </si>
  <si>
    <t>Children &amp; Families</t>
  </si>
  <si>
    <t>Environment &amp; Culture</t>
  </si>
  <si>
    <t>Total Environment &amp; Culture</t>
  </si>
  <si>
    <t xml:space="preserve"> Total Children &amp; Families</t>
  </si>
  <si>
    <t>Targeted Capital Funding (Education)</t>
  </si>
  <si>
    <t>St Mary Magdalen's Junior School Rebuild (TCF Funded)</t>
  </si>
  <si>
    <t>Sport England Grant (Education)</t>
  </si>
  <si>
    <t>Family Resource &amp; Children's Centres - Surestart Schemes</t>
  </si>
  <si>
    <t>General Fund - Housing and Community Care: Adults Capital Programme</t>
  </si>
  <si>
    <t xml:space="preserve">General Fund - Housing &amp; Community Care: Housing &amp; Customer Services Capital Programme </t>
  </si>
  <si>
    <t xml:space="preserve">Housing Revenue Account - Housing Capital Programme </t>
  </si>
  <si>
    <t xml:space="preserve">Housing &amp; Community Care: Adults </t>
  </si>
  <si>
    <t xml:space="preserve">Total Housing &amp; Community Care: Adults </t>
  </si>
  <si>
    <t xml:space="preserve">Housing and Community Care: Housing </t>
  </si>
  <si>
    <t>Total Housing &amp; Community Care: Housing</t>
  </si>
  <si>
    <t>Total Housing &amp; Community Care: Housing Capital Programme</t>
  </si>
  <si>
    <t>Expansion of Secondary School Places (Including Additional Places)</t>
  </si>
  <si>
    <t>E-mail and Data Storage System (Self Funded)</t>
  </si>
  <si>
    <t>Environment Grant Income (Borough Spending Plan)</t>
  </si>
  <si>
    <t>2009/10</t>
  </si>
  <si>
    <t xml:space="preserve">                                      Project C Related Receipts</t>
  </si>
  <si>
    <t>Priority One Backlog repairs</t>
  </si>
  <si>
    <t>Knowles House</t>
  </si>
  <si>
    <t>Additional Grant Notifications (Ringfenced):</t>
  </si>
  <si>
    <t>Children &amp; Families - Youth Capital Grant</t>
  </si>
  <si>
    <t xml:space="preserve">                                         - Integrated Childrens System IT Capital </t>
  </si>
  <si>
    <t>Improving Information Management Grant</t>
  </si>
  <si>
    <t>Housing and Community Care: Adults -</t>
  </si>
  <si>
    <t>Ringfenced Grant Notifications</t>
  </si>
  <si>
    <t xml:space="preserve">                                      Grange Museum Related Receipts</t>
  </si>
  <si>
    <t xml:space="preserve">    Parks Infrastructure</t>
  </si>
  <si>
    <t xml:space="preserve">   Cemetery and Mortuary Service</t>
  </si>
  <si>
    <t xml:space="preserve">   Delivering the Sports Strategy</t>
  </si>
  <si>
    <t>Parks &amp; Cemeteries:</t>
  </si>
  <si>
    <t xml:space="preserve"> </t>
  </si>
  <si>
    <t>John Kelly</t>
  </si>
  <si>
    <t>Academy 2 Land</t>
  </si>
  <si>
    <t>Alperton School Underpinning</t>
  </si>
  <si>
    <t>Kilburn Park - Extension Rebuild</t>
  </si>
  <si>
    <t>Deficit to be funded</t>
  </si>
  <si>
    <t>Childrens Centres Sure Start Grant</t>
  </si>
  <si>
    <t>Childrens Centre Sure Start Grant</t>
  </si>
  <si>
    <t>Other External Grant</t>
  </si>
  <si>
    <t>Waste Performance and Efficiency Grant</t>
  </si>
  <si>
    <t>School Schemes</t>
  </si>
  <si>
    <t>Non - School Schemes</t>
  </si>
  <si>
    <t>Leisure &amp; Sports Schemes</t>
  </si>
  <si>
    <t>Environmental Initiative Schemes</t>
  </si>
  <si>
    <t>Highways Schemes</t>
  </si>
  <si>
    <t>Parks &amp; Cemeteries Schemes</t>
  </si>
  <si>
    <t>Library Schemes</t>
  </si>
  <si>
    <t>Adult Personnal Social Services Schemes</t>
  </si>
  <si>
    <t>ICT Schemes</t>
  </si>
  <si>
    <t>Property Schemes</t>
  </si>
  <si>
    <t xml:space="preserve">                                      Other Receipts</t>
  </si>
  <si>
    <t>Unsupported Borrowing</t>
  </si>
  <si>
    <t>Government Grant - SCE (C)</t>
  </si>
  <si>
    <t>Capital Grants and other contributions</t>
  </si>
  <si>
    <t>Supported Borrowing</t>
  </si>
  <si>
    <t>RESOURCES: GENERAL FUND</t>
  </si>
  <si>
    <t>EXPENDITURE: GENERAL FUND</t>
  </si>
  <si>
    <t>RESOURCES: HOUSING REVENUE ACCOUNT</t>
  </si>
  <si>
    <t>RHB Allocation - SCE (R)</t>
  </si>
  <si>
    <t>EXPENDITURE: HOUSING REVENUE ACCOUNT</t>
  </si>
  <si>
    <t>Borrowing</t>
  </si>
  <si>
    <t>Supported Borrowing - SCE (R)</t>
  </si>
  <si>
    <t>CAPITAL  PROGRAMME  2006/07 TO 2009/10</t>
  </si>
  <si>
    <t>TfL Grant Funded Schemes</t>
  </si>
  <si>
    <t>Estate Access Corridor</t>
  </si>
  <si>
    <t xml:space="preserve">General Fund - Corporate Capital Programme </t>
  </si>
  <si>
    <t xml:space="preserve">Corporate </t>
  </si>
  <si>
    <t>Total Corporate</t>
  </si>
  <si>
    <t xml:space="preserve">Forecast </t>
  </si>
  <si>
    <t>Outturn</t>
  </si>
  <si>
    <t xml:space="preserve">Variance </t>
  </si>
  <si>
    <t>Forecast</t>
  </si>
  <si>
    <t>31 Douglas Road</t>
  </si>
  <si>
    <t>Central Items</t>
  </si>
  <si>
    <t>LEA Controlled Voluntary Aided Programme</t>
  </si>
  <si>
    <t>The Avenue Primary School (TCF Funded)</t>
  </si>
  <si>
    <t>NHFM (Libraries) Grant Funding 2006/07</t>
  </si>
  <si>
    <t>Original</t>
  </si>
  <si>
    <t>July 2006</t>
  </si>
  <si>
    <t>Jesus and Mary Language College and Cardinal Hinsley RC High School (TCF) Funded</t>
  </si>
  <si>
    <t>July '06</t>
  </si>
  <si>
    <t xml:space="preserve">July to </t>
  </si>
  <si>
    <t>Updated</t>
  </si>
  <si>
    <t>Children and Families S106 Funding</t>
  </si>
  <si>
    <t>EAC S106 funding</t>
  </si>
  <si>
    <t>Brondesbury Road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</si>
</sst>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right"/>
    </xf>
    <xf numFmtId="164" fontId="5" fillId="0" borderId="1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 quotePrefix="1">
      <alignment horizont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164" fontId="5" fillId="0" borderId="6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164" fontId="5" fillId="0" borderId="1" xfId="0" applyNumberFormat="1" applyFont="1" applyBorder="1" applyAlignment="1">
      <alignment horizontal="left"/>
    </xf>
    <xf numFmtId="164" fontId="5" fillId="0" borderId="7" xfId="0" applyNumberFormat="1" applyFont="1" applyFill="1" applyBorder="1" applyAlignment="1" quotePrefix="1">
      <alignment horizontal="right"/>
    </xf>
    <xf numFmtId="164" fontId="5" fillId="0" borderId="1" xfId="0" applyNumberFormat="1" applyFont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/>
    </xf>
    <xf numFmtId="164" fontId="5" fillId="0" borderId="6" xfId="0" applyNumberFormat="1" applyFont="1" applyBorder="1" applyAlignment="1">
      <alignment horizontal="right"/>
    </xf>
    <xf numFmtId="164" fontId="5" fillId="0" borderId="8" xfId="0" applyNumberFormat="1" applyFont="1" applyFill="1" applyBorder="1" applyAlignment="1">
      <alignment/>
    </xf>
    <xf numFmtId="164" fontId="5" fillId="0" borderId="6" xfId="0" applyNumberFormat="1" applyFont="1" applyFill="1" applyBorder="1" applyAlignment="1" quotePrefix="1">
      <alignment horizontal="right"/>
    </xf>
    <xf numFmtId="164" fontId="3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6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4" fontId="4" fillId="0" borderId="0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left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 horizontal="right"/>
    </xf>
    <xf numFmtId="164" fontId="0" fillId="0" borderId="2" xfId="0" applyNumberFormat="1" applyFont="1" applyBorder="1" applyAlignment="1">
      <alignment/>
    </xf>
    <xf numFmtId="164" fontId="0" fillId="0" borderId="8" xfId="0" applyNumberFormat="1" applyFont="1" applyFill="1" applyBorder="1" applyAlignment="1">
      <alignment horizontal="right"/>
    </xf>
    <xf numFmtId="164" fontId="5" fillId="0" borderId="7" xfId="0" applyNumberFormat="1" applyFont="1" applyFill="1" applyBorder="1" applyAlignment="1" quotePrefix="1">
      <alignment horizontal="center"/>
    </xf>
    <xf numFmtId="164" fontId="5" fillId="0" borderId="7" xfId="0" applyNumberFormat="1" applyFont="1" applyFill="1" applyBorder="1" applyAlignment="1">
      <alignment horizontal="right"/>
    </xf>
    <xf numFmtId="164" fontId="5" fillId="0" borderId="2" xfId="0" applyNumberFormat="1" applyFont="1" applyBorder="1" applyAlignment="1">
      <alignment horizontal="right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Fill="1" applyBorder="1" applyAlignment="1" quotePrefix="1">
      <alignment horizontal="center"/>
    </xf>
    <xf numFmtId="164" fontId="5" fillId="0" borderId="11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Fill="1" applyBorder="1" applyAlignment="1" quotePrefix="1">
      <alignment horizontal="center"/>
    </xf>
    <xf numFmtId="164" fontId="5" fillId="0" borderId="12" xfId="0" applyNumberFormat="1" applyFont="1" applyBorder="1" applyAlignment="1">
      <alignment horizontal="left"/>
    </xf>
    <xf numFmtId="164" fontId="0" fillId="0" borderId="5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left"/>
    </xf>
    <xf numFmtId="164" fontId="0" fillId="0" borderId="5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/>
    </xf>
    <xf numFmtId="164" fontId="5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>
      <alignment/>
    </xf>
    <xf numFmtId="164" fontId="5" fillId="0" borderId="18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0" borderId="23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 quotePrefix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5" fillId="0" borderId="5" xfId="0" applyNumberFormat="1" applyFont="1" applyFill="1" applyBorder="1" applyAlignment="1" quotePrefix="1">
      <alignment horizontal="center"/>
    </xf>
    <xf numFmtId="164" fontId="5" fillId="0" borderId="17" xfId="0" applyNumberFormat="1" applyFont="1" applyFill="1" applyBorder="1" applyAlignment="1" quotePrefix="1">
      <alignment horizontal="right"/>
    </xf>
    <xf numFmtId="164" fontId="0" fillId="0" borderId="12" xfId="0" applyNumberFormat="1" applyFont="1" applyBorder="1" applyAlignment="1">
      <alignment/>
    </xf>
    <xf numFmtId="164" fontId="5" fillId="0" borderId="2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/>
    </xf>
    <xf numFmtId="164" fontId="5" fillId="0" borderId="5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164" fontId="5" fillId="2" borderId="2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5" fillId="0" borderId="5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/>
    </xf>
    <xf numFmtId="164" fontId="3" fillId="2" borderId="24" xfId="0" applyNumberFormat="1" applyFont="1" applyFill="1" applyBorder="1" applyAlignment="1">
      <alignment horizontal="right"/>
    </xf>
    <xf numFmtId="164" fontId="5" fillId="0" borderId="9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12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3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 horizontal="right"/>
    </xf>
    <xf numFmtId="164" fontId="0" fillId="0" borderId="12" xfId="0" applyNumberFormat="1" applyFont="1" applyFill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applyNumberFormat="1" applyFont="1" applyFill="1" applyBorder="1" applyAlignment="1" quotePrefix="1">
      <alignment horizontal="right"/>
    </xf>
    <xf numFmtId="164" fontId="5" fillId="0" borderId="26" xfId="0" applyNumberFormat="1" applyFont="1" applyFill="1" applyBorder="1" applyAlignment="1" quotePrefix="1">
      <alignment horizontal="right"/>
    </xf>
    <xf numFmtId="164" fontId="5" fillId="0" borderId="13" xfId="0" applyNumberFormat="1" applyFont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6" xfId="0" applyNumberFormat="1" applyFont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/>
    </xf>
    <xf numFmtId="164" fontId="5" fillId="0" borderId="27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left"/>
    </xf>
    <xf numFmtId="164" fontId="0" fillId="0" borderId="29" xfId="0" applyNumberFormat="1" applyFont="1" applyBorder="1" applyAlignment="1">
      <alignment horizontal="left"/>
    </xf>
    <xf numFmtId="164" fontId="0" fillId="0" borderId="29" xfId="0" applyNumberFormat="1" applyFont="1" applyFill="1" applyBorder="1" applyAlignment="1">
      <alignment horizontal="left"/>
    </xf>
    <xf numFmtId="164" fontId="5" fillId="0" borderId="30" xfId="0" applyNumberFormat="1" applyFont="1" applyFill="1" applyBorder="1" applyAlignment="1">
      <alignment horizontal="left"/>
    </xf>
    <xf numFmtId="164" fontId="5" fillId="0" borderId="30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/>
    </xf>
    <xf numFmtId="164" fontId="0" fillId="0" borderId="29" xfId="0" applyNumberFormat="1" applyFont="1" applyFill="1" applyBorder="1" applyAlignment="1">
      <alignment/>
    </xf>
    <xf numFmtId="164" fontId="5" fillId="0" borderId="29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/>
    </xf>
    <xf numFmtId="164" fontId="5" fillId="0" borderId="31" xfId="0" applyNumberFormat="1" applyFont="1" applyFill="1" applyBorder="1" applyAlignment="1">
      <alignment horizontal="right"/>
    </xf>
    <xf numFmtId="164" fontId="5" fillId="0" borderId="32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5" fillId="0" borderId="32" xfId="0" applyNumberFormat="1" applyFont="1" applyBorder="1" applyAlignment="1">
      <alignment horizontal="right"/>
    </xf>
    <xf numFmtId="164" fontId="5" fillId="3" borderId="33" xfId="0" applyNumberFormat="1" applyFont="1" applyFill="1" applyBorder="1" applyAlignment="1" quotePrefix="1">
      <alignment horizontal="center"/>
    </xf>
    <xf numFmtId="164" fontId="5" fillId="3" borderId="0" xfId="0" applyNumberFormat="1" applyFont="1" applyFill="1" applyBorder="1" applyAlignment="1">
      <alignment horizontal="center"/>
    </xf>
    <xf numFmtId="164" fontId="5" fillId="3" borderId="34" xfId="0" applyNumberFormat="1" applyFont="1" applyFill="1" applyBorder="1" applyAlignment="1" quotePrefix="1">
      <alignment horizontal="center"/>
    </xf>
    <xf numFmtId="164" fontId="5" fillId="3" borderId="0" xfId="0" applyNumberFormat="1" applyFont="1" applyFill="1" applyBorder="1" applyAlignment="1">
      <alignment horizontal="left"/>
    </xf>
    <xf numFmtId="164" fontId="0" fillId="3" borderId="0" xfId="0" applyNumberFormat="1" applyFont="1" applyFill="1" applyBorder="1" applyAlignment="1">
      <alignment horizontal="right"/>
    </xf>
    <xf numFmtId="164" fontId="5" fillId="3" borderId="34" xfId="0" applyNumberFormat="1" applyFont="1" applyFill="1" applyBorder="1" applyAlignment="1" quotePrefix="1">
      <alignment horizontal="right"/>
    </xf>
    <xf numFmtId="164" fontId="5" fillId="3" borderId="0" xfId="0" applyNumberFormat="1" applyFont="1" applyFill="1" applyBorder="1" applyAlignment="1">
      <alignment/>
    </xf>
    <xf numFmtId="164" fontId="5" fillId="3" borderId="35" xfId="0" applyNumberFormat="1" applyFont="1" applyFill="1" applyBorder="1" applyAlignment="1">
      <alignment horizontal="right"/>
    </xf>
    <xf numFmtId="164" fontId="5" fillId="3" borderId="36" xfId="0" applyNumberFormat="1" applyFont="1" applyFill="1" applyBorder="1" applyAlignment="1">
      <alignment/>
    </xf>
    <xf numFmtId="164" fontId="5" fillId="3" borderId="36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left"/>
    </xf>
    <xf numFmtId="164" fontId="5" fillId="0" borderId="28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 horizontal="right"/>
    </xf>
    <xf numFmtId="164" fontId="0" fillId="0" borderId="25" xfId="0" applyNumberFormat="1" applyFont="1" applyBorder="1" applyAlignment="1">
      <alignment horizontal="right"/>
    </xf>
    <xf numFmtId="164" fontId="0" fillId="3" borderId="33" xfId="0" applyNumberFormat="1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right"/>
    </xf>
    <xf numFmtId="164" fontId="5" fillId="0" borderId="37" xfId="0" applyNumberFormat="1" applyFont="1" applyFill="1" applyBorder="1" applyAlignment="1">
      <alignment horizontal="left"/>
    </xf>
    <xf numFmtId="164" fontId="0" fillId="0" borderId="38" xfId="0" applyNumberFormat="1" applyFont="1" applyFill="1" applyBorder="1" applyAlignment="1">
      <alignment horizontal="right"/>
    </xf>
    <xf numFmtId="164" fontId="0" fillId="0" borderId="39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3" borderId="41" xfId="0" applyNumberFormat="1" applyFont="1" applyFill="1" applyBorder="1" applyAlignment="1">
      <alignment horizontal="right"/>
    </xf>
    <xf numFmtId="164" fontId="0" fillId="0" borderId="39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3" borderId="34" xfId="0" applyNumberFormat="1" applyFont="1" applyFill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42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/>
    </xf>
    <xf numFmtId="164" fontId="5" fillId="0" borderId="44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3" borderId="46" xfId="0" applyNumberFormat="1" applyFont="1" applyFill="1" applyBorder="1" applyAlignment="1">
      <alignment horizontal="right"/>
    </xf>
    <xf numFmtId="164" fontId="5" fillId="3" borderId="35" xfId="0" applyNumberFormat="1" applyFont="1" applyFill="1" applyBorder="1" applyAlignment="1" quotePrefix="1">
      <alignment horizontal="right"/>
    </xf>
    <xf numFmtId="164" fontId="0" fillId="3" borderId="0" xfId="0" applyNumberFormat="1" applyFont="1" applyFill="1" applyBorder="1" applyAlignment="1">
      <alignment/>
    </xf>
    <xf numFmtId="164" fontId="5" fillId="0" borderId="18" xfId="0" applyNumberFormat="1" applyFont="1" applyFill="1" applyBorder="1" applyAlignment="1" quotePrefix="1">
      <alignment horizontal="right"/>
    </xf>
    <xf numFmtId="164" fontId="4" fillId="0" borderId="26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5" fillId="0" borderId="4" xfId="0" applyNumberFormat="1" applyFont="1" applyFill="1" applyBorder="1" applyAlignment="1" quotePrefix="1">
      <alignment horizontal="right"/>
    </xf>
    <xf numFmtId="164" fontId="0" fillId="0" borderId="1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5" fillId="0" borderId="15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48" xfId="0" applyBorder="1" applyAlignment="1">
      <alignment/>
    </xf>
    <xf numFmtId="6" fontId="5" fillId="0" borderId="39" xfId="0" applyNumberFormat="1" applyFont="1" applyBorder="1" applyAlignment="1">
      <alignment horizontal="center"/>
    </xf>
    <xf numFmtId="6" fontId="5" fillId="0" borderId="24" xfId="0" applyNumberFormat="1" applyFont="1" applyBorder="1" applyAlignment="1">
      <alignment horizontal="center"/>
    </xf>
    <xf numFmtId="0" fontId="9" fillId="0" borderId="49" xfId="0" applyFont="1" applyBorder="1" applyAlignment="1">
      <alignment/>
    </xf>
    <xf numFmtId="0" fontId="0" fillId="0" borderId="49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38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5" fillId="0" borderId="48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4" fillId="0" borderId="0" xfId="0" applyFont="1" applyAlignment="1">
      <alignment/>
    </xf>
    <xf numFmtId="164" fontId="0" fillId="0" borderId="7" xfId="0" applyNumberFormat="1" applyFont="1" applyBorder="1" applyAlignment="1">
      <alignment horizontal="right"/>
    </xf>
    <xf numFmtId="164" fontId="0" fillId="0" borderId="2" xfId="0" applyNumberFormat="1" applyFont="1" applyFill="1" applyBorder="1" applyAlignment="1" quotePrefix="1">
      <alignment horizontal="right"/>
    </xf>
    <xf numFmtId="164" fontId="0" fillId="0" borderId="5" xfId="0" applyNumberFormat="1" applyFont="1" applyFill="1" applyBorder="1" applyAlignment="1" quotePrefix="1">
      <alignment horizontal="right"/>
    </xf>
    <xf numFmtId="164" fontId="0" fillId="0" borderId="6" xfId="0" applyNumberFormat="1" applyFont="1" applyBorder="1" applyAlignment="1">
      <alignment horizontal="right"/>
    </xf>
    <xf numFmtId="164" fontId="0" fillId="0" borderId="17" xfId="0" applyNumberFormat="1" applyFont="1" applyBorder="1" applyAlignment="1">
      <alignment horizontal="right"/>
    </xf>
    <xf numFmtId="164" fontId="5" fillId="0" borderId="39" xfId="0" applyNumberFormat="1" applyFont="1" applyBorder="1" applyAlignment="1">
      <alignment horizontal="right"/>
    </xf>
    <xf numFmtId="164" fontId="3" fillId="2" borderId="22" xfId="0" applyNumberFormat="1" applyFont="1" applyFill="1" applyBorder="1" applyAlignment="1">
      <alignment horizontal="right"/>
    </xf>
    <xf numFmtId="164" fontId="0" fillId="0" borderId="3" xfId="0" applyNumberFormat="1" applyFont="1" applyFill="1" applyBorder="1" applyAlignment="1" quotePrefix="1">
      <alignment horizontal="right"/>
    </xf>
    <xf numFmtId="164" fontId="0" fillId="0" borderId="15" xfId="0" applyNumberFormat="1" applyFont="1" applyFill="1" applyBorder="1" applyAlignment="1" quotePrefix="1">
      <alignment horizontal="right"/>
    </xf>
    <xf numFmtId="164" fontId="3" fillId="2" borderId="50" xfId="0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5" fillId="2" borderId="45" xfId="0" applyNumberFormat="1" applyFont="1" applyFill="1" applyBorder="1" applyAlignment="1">
      <alignment horizontal="right"/>
    </xf>
    <xf numFmtId="164" fontId="5" fillId="2" borderId="50" xfId="0" applyNumberFormat="1" applyFont="1" applyFill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164" fontId="5" fillId="2" borderId="24" xfId="0" applyNumberFormat="1" applyFont="1" applyFill="1" applyBorder="1" applyAlignment="1">
      <alignment horizontal="right"/>
    </xf>
    <xf numFmtId="164" fontId="0" fillId="0" borderId="49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 horizontal="right"/>
    </xf>
    <xf numFmtId="164" fontId="5" fillId="0" borderId="50" xfId="0" applyNumberFormat="1" applyFont="1" applyBorder="1" applyAlignment="1">
      <alignment horizontal="right"/>
    </xf>
    <xf numFmtId="164" fontId="5" fillId="0" borderId="38" xfId="0" applyNumberFormat="1" applyFont="1" applyBorder="1" applyAlignment="1">
      <alignment horizontal="right"/>
    </xf>
    <xf numFmtId="164" fontId="5" fillId="0" borderId="12" xfId="0" applyNumberFormat="1" applyFont="1" applyFill="1" applyBorder="1" applyAlignment="1" quotePrefix="1">
      <alignment horizontal="center"/>
    </xf>
    <xf numFmtId="164" fontId="5" fillId="2" borderId="20" xfId="0" applyNumberFormat="1" applyFont="1" applyFill="1" applyBorder="1" applyAlignment="1">
      <alignment horizontal="right"/>
    </xf>
    <xf numFmtId="164" fontId="5" fillId="2" borderId="38" xfId="0" applyNumberFormat="1" applyFont="1" applyFill="1" applyBorder="1" applyAlignment="1">
      <alignment horizontal="right"/>
    </xf>
    <xf numFmtId="164" fontId="5" fillId="0" borderId="19" xfId="0" applyNumberFormat="1" applyFont="1" applyFill="1" applyBorder="1" applyAlignment="1" quotePrefix="1">
      <alignment horizontal="center"/>
    </xf>
    <xf numFmtId="164" fontId="0" fillId="0" borderId="12" xfId="0" applyNumberFormat="1" applyFont="1" applyFill="1" applyBorder="1" applyAlignment="1" quotePrefix="1">
      <alignment horizontal="right"/>
    </xf>
    <xf numFmtId="0" fontId="0" fillId="0" borderId="12" xfId="0" applyFont="1" applyFill="1" applyBorder="1" applyAlignment="1">
      <alignment horizontal="right"/>
    </xf>
    <xf numFmtId="164" fontId="0" fillId="0" borderId="14" xfId="0" applyNumberFormat="1" applyFont="1" applyFill="1" applyBorder="1" applyAlignment="1" quotePrefix="1">
      <alignment horizontal="right"/>
    </xf>
    <xf numFmtId="164" fontId="3" fillId="2" borderId="38" xfId="0" applyNumberFormat="1" applyFont="1" applyFill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Border="1" applyAlignment="1">
      <alignment/>
    </xf>
    <xf numFmtId="164" fontId="5" fillId="2" borderId="40" xfId="0" applyNumberFormat="1" applyFont="1" applyFill="1" applyBorder="1" applyAlignment="1">
      <alignment horizontal="right"/>
    </xf>
    <xf numFmtId="164" fontId="5" fillId="2" borderId="22" xfId="0" applyNumberFormat="1" applyFont="1" applyFill="1" applyBorder="1" applyAlignment="1">
      <alignment horizontal="right"/>
    </xf>
    <xf numFmtId="164" fontId="4" fillId="0" borderId="13" xfId="0" applyNumberFormat="1" applyFont="1" applyBorder="1" applyAlignment="1">
      <alignment/>
    </xf>
    <xf numFmtId="164" fontId="5" fillId="0" borderId="15" xfId="0" applyNumberFormat="1" applyFont="1" applyFill="1" applyBorder="1" applyAlignment="1" quotePrefix="1">
      <alignment horizontal="right"/>
    </xf>
    <xf numFmtId="164" fontId="0" fillId="0" borderId="2" xfId="0" applyNumberFormat="1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 horizontal="left"/>
    </xf>
    <xf numFmtId="164" fontId="5" fillId="0" borderId="31" xfId="0" applyNumberFormat="1" applyFont="1" applyBorder="1" applyAlignment="1">
      <alignment horizontal="right"/>
    </xf>
    <xf numFmtId="164" fontId="0" fillId="0" borderId="29" xfId="0" applyNumberFormat="1" applyFont="1" applyBorder="1" applyAlignment="1">
      <alignment/>
    </xf>
    <xf numFmtId="164" fontId="5" fillId="0" borderId="51" xfId="0" applyNumberFormat="1" applyFont="1" applyFill="1" applyBorder="1" applyAlignment="1" quotePrefix="1">
      <alignment horizontal="center"/>
    </xf>
    <xf numFmtId="164" fontId="5" fillId="0" borderId="51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164" fontId="5" fillId="0" borderId="31" xfId="0" applyNumberFormat="1" applyFont="1" applyFill="1" applyBorder="1" applyAlignment="1">
      <alignment/>
    </xf>
    <xf numFmtId="164" fontId="3" fillId="2" borderId="37" xfId="0" applyNumberFormat="1" applyFont="1" applyFill="1" applyBorder="1" applyAlignment="1">
      <alignment/>
    </xf>
    <xf numFmtId="164" fontId="5" fillId="0" borderId="32" xfId="0" applyNumberFormat="1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5" fillId="0" borderId="29" xfId="0" applyFont="1" applyBorder="1" applyAlignment="1">
      <alignment/>
    </xf>
    <xf numFmtId="164" fontId="5" fillId="0" borderId="30" xfId="0" applyNumberFormat="1" applyFont="1" applyFill="1" applyBorder="1" applyAlignment="1">
      <alignment/>
    </xf>
    <xf numFmtId="164" fontId="5" fillId="0" borderId="52" xfId="0" applyNumberFormat="1" applyFont="1" applyFill="1" applyBorder="1" applyAlignment="1">
      <alignment horizontal="right"/>
    </xf>
    <xf numFmtId="164" fontId="3" fillId="2" borderId="53" xfId="0" applyNumberFormat="1" applyFont="1" applyFill="1" applyBorder="1" applyAlignment="1">
      <alignment horizontal="right"/>
    </xf>
    <xf numFmtId="164" fontId="5" fillId="0" borderId="29" xfId="0" applyNumberFormat="1" applyFont="1" applyFill="1" applyBorder="1" applyAlignment="1">
      <alignment horizontal="left"/>
    </xf>
    <xf numFmtId="164" fontId="0" fillId="0" borderId="29" xfId="0" applyNumberFormat="1" applyFont="1" applyFill="1" applyBorder="1" applyAlignment="1">
      <alignment wrapText="1"/>
    </xf>
    <xf numFmtId="164" fontId="5" fillId="2" borderId="44" xfId="0" applyNumberFormat="1" applyFont="1" applyFill="1" applyBorder="1" applyAlignment="1">
      <alignment/>
    </xf>
    <xf numFmtId="164" fontId="5" fillId="2" borderId="53" xfId="0" applyNumberFormat="1" applyFont="1" applyFill="1" applyBorder="1" applyAlignment="1">
      <alignment horizontal="right"/>
    </xf>
    <xf numFmtId="164" fontId="0" fillId="0" borderId="29" xfId="0" applyNumberFormat="1" applyFont="1" applyFill="1" applyBorder="1" applyAlignment="1">
      <alignment horizontal="left" indent="1"/>
    </xf>
    <xf numFmtId="0" fontId="0" fillId="0" borderId="30" xfId="0" applyFont="1" applyFill="1" applyBorder="1" applyAlignment="1">
      <alignment/>
    </xf>
    <xf numFmtId="164" fontId="5" fillId="2" borderId="37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right"/>
    </xf>
    <xf numFmtId="164" fontId="10" fillId="0" borderId="29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164" fontId="5" fillId="0" borderId="52" xfId="0" applyNumberFormat="1" applyFont="1" applyFill="1" applyBorder="1" applyAlignment="1" quotePrefix="1">
      <alignment horizontal="center"/>
    </xf>
    <xf numFmtId="164" fontId="0" fillId="0" borderId="15" xfId="0" applyNumberFormat="1" applyFont="1" applyFill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5" fillId="0" borderId="54" xfId="0" applyNumberFormat="1" applyFont="1" applyFill="1" applyBorder="1" applyAlignment="1">
      <alignment horizontal="right"/>
    </xf>
    <xf numFmtId="164" fontId="5" fillId="0" borderId="35" xfId="0" applyNumberFormat="1" applyFont="1" applyFill="1" applyBorder="1" applyAlignment="1">
      <alignment horizontal="right"/>
    </xf>
    <xf numFmtId="164" fontId="3" fillId="2" borderId="45" xfId="0" applyNumberFormat="1" applyFont="1" applyFill="1" applyBorder="1" applyAlignment="1">
      <alignment horizontal="right"/>
    </xf>
    <xf numFmtId="164" fontId="0" fillId="0" borderId="49" xfId="0" applyNumberFormat="1" applyFont="1" applyFill="1" applyBorder="1" applyAlignment="1">
      <alignment horizontal="left"/>
    </xf>
    <xf numFmtId="164" fontId="5" fillId="0" borderId="55" xfId="0" applyNumberFormat="1" applyFont="1" applyFill="1" applyBorder="1" applyAlignment="1" quotePrefix="1">
      <alignment horizontal="center"/>
    </xf>
    <xf numFmtId="164" fontId="5" fillId="0" borderId="56" xfId="0" applyNumberFormat="1" applyFont="1" applyFill="1" applyBorder="1" applyAlignment="1" quotePrefix="1">
      <alignment horizontal="center"/>
    </xf>
    <xf numFmtId="164" fontId="5" fillId="0" borderId="57" xfId="0" applyNumberFormat="1" applyFont="1" applyFill="1" applyBorder="1" applyAlignment="1" quotePrefix="1">
      <alignment horizontal="center"/>
    </xf>
    <xf numFmtId="164" fontId="5" fillId="0" borderId="58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29" xfId="0" applyFont="1" applyFill="1" applyBorder="1" applyAlignment="1">
      <alignment wrapText="1"/>
    </xf>
    <xf numFmtId="0" fontId="0" fillId="0" borderId="29" xfId="0" applyFont="1" applyFill="1" applyBorder="1" applyAlignment="1">
      <alignment horizontal="left" indent="1"/>
    </xf>
    <xf numFmtId="164" fontId="11" fillId="0" borderId="5" xfId="0" applyNumberFormat="1" applyFont="1" applyFill="1" applyBorder="1" applyAlignment="1">
      <alignment horizontal="right"/>
    </xf>
    <xf numFmtId="164" fontId="5" fillId="0" borderId="30" xfId="0" applyNumberFormat="1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29" xfId="0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10" fillId="0" borderId="29" xfId="0" applyFont="1" applyBorder="1" applyAlignment="1">
      <alignment/>
    </xf>
    <xf numFmtId="0" fontId="0" fillId="0" borderId="29" xfId="0" applyFont="1" applyBorder="1" applyAlignment="1">
      <alignment horizontal="left" indent="1"/>
    </xf>
    <xf numFmtId="0" fontId="0" fillId="0" borderId="30" xfId="0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0" fillId="0" borderId="26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3"/>
  <sheetViews>
    <sheetView workbookViewId="0" topLeftCell="A12">
      <selection activeCell="I43" sqref="I43"/>
    </sheetView>
  </sheetViews>
  <sheetFormatPr defaultColWidth="9.140625" defaultRowHeight="12.75"/>
  <cols>
    <col min="2" max="2" width="57.7109375" style="0" customWidth="1"/>
  </cols>
  <sheetData>
    <row r="3" spans="1:6" ht="29.25" customHeight="1">
      <c r="A3" s="32"/>
      <c r="B3" s="308" t="s">
        <v>111</v>
      </c>
      <c r="C3" s="308"/>
      <c r="D3" s="308"/>
      <c r="E3" s="308"/>
      <c r="F3" s="308"/>
    </row>
    <row r="4" ht="13.5" thickBot="1"/>
    <row r="5" spans="2:6" ht="12.75">
      <c r="B5" s="183" t="s">
        <v>112</v>
      </c>
      <c r="C5" s="184" t="s">
        <v>1</v>
      </c>
      <c r="D5" s="184" t="s">
        <v>2</v>
      </c>
      <c r="E5" s="184" t="s">
        <v>37</v>
      </c>
      <c r="F5" s="185" t="s">
        <v>63</v>
      </c>
    </row>
    <row r="6" spans="2:6" ht="13.5" thickBot="1">
      <c r="B6" s="186"/>
      <c r="C6" s="187" t="s">
        <v>113</v>
      </c>
      <c r="D6" s="187" t="s">
        <v>113</v>
      </c>
      <c r="E6" s="187" t="s">
        <v>113</v>
      </c>
      <c r="F6" s="188" t="s">
        <v>113</v>
      </c>
    </row>
    <row r="7" spans="2:6" ht="12.75">
      <c r="B7" s="189" t="s">
        <v>0</v>
      </c>
      <c r="C7" s="15"/>
      <c r="D7" s="15"/>
      <c r="E7" s="15"/>
      <c r="F7" s="14"/>
    </row>
    <row r="8" spans="2:6" ht="12.75">
      <c r="B8" s="190" t="s">
        <v>114</v>
      </c>
      <c r="C8" s="191">
        <f>14259*10.6%</f>
        <v>1511.454</v>
      </c>
      <c r="D8" s="191">
        <f>14259*10.5%</f>
        <v>1497.195</v>
      </c>
      <c r="E8" s="191">
        <f>14259*10.5%</f>
        <v>1497.195</v>
      </c>
      <c r="F8" s="192">
        <f>14259*10.5%</f>
        <v>1497.195</v>
      </c>
    </row>
    <row r="9" spans="2:6" ht="12.75">
      <c r="B9" s="190" t="s">
        <v>115</v>
      </c>
      <c r="C9" s="191">
        <f>-417*10.6%</f>
        <v>-44.202</v>
      </c>
      <c r="D9" s="191">
        <f>-417*10.5%</f>
        <v>-43.785</v>
      </c>
      <c r="E9" s="191">
        <f>-417*10.5%</f>
        <v>-43.785</v>
      </c>
      <c r="F9" s="192">
        <f>-417*10.5%</f>
        <v>-43.785</v>
      </c>
    </row>
    <row r="10" spans="2:6" ht="12.75">
      <c r="B10" s="189" t="s">
        <v>1</v>
      </c>
      <c r="C10" s="15"/>
      <c r="D10" s="15"/>
      <c r="E10" s="15"/>
      <c r="F10" s="14"/>
    </row>
    <row r="11" spans="2:6" ht="12.75">
      <c r="B11" s="190" t="s">
        <v>116</v>
      </c>
      <c r="C11" s="191">
        <f>12927*3.4%</f>
        <v>439.51800000000003</v>
      </c>
      <c r="D11" s="191">
        <f>12927*10.6%</f>
        <v>1370.262</v>
      </c>
      <c r="E11" s="191">
        <f>12927*10.5%</f>
        <v>1357.335</v>
      </c>
      <c r="F11" s="192">
        <f>12927*10.5%</f>
        <v>1357.335</v>
      </c>
    </row>
    <row r="12" spans="2:6" ht="12.75">
      <c r="B12" s="189" t="s">
        <v>2</v>
      </c>
      <c r="C12" s="191"/>
      <c r="D12" s="191"/>
      <c r="E12" s="191"/>
      <c r="F12" s="192"/>
    </row>
    <row r="13" spans="2:6" ht="12.75">
      <c r="B13" s="190" t="s">
        <v>117</v>
      </c>
      <c r="C13" s="191">
        <v>0</v>
      </c>
      <c r="D13" s="191">
        <f>13134*3.4%</f>
        <v>446.55600000000004</v>
      </c>
      <c r="E13" s="191">
        <f>13134*10.6%</f>
        <v>1392.204</v>
      </c>
      <c r="F13" s="192">
        <f>13134*10.5%</f>
        <v>1379.07</v>
      </c>
    </row>
    <row r="14" spans="2:6" ht="12.75">
      <c r="B14" s="189" t="s">
        <v>37</v>
      </c>
      <c r="C14" s="191"/>
      <c r="D14" s="191"/>
      <c r="E14" s="191"/>
      <c r="F14" s="192"/>
    </row>
    <row r="15" spans="2:6" ht="12.75">
      <c r="B15" s="190" t="s">
        <v>118</v>
      </c>
      <c r="C15" s="191">
        <v>0</v>
      </c>
      <c r="D15" s="191">
        <v>0</v>
      </c>
      <c r="E15" s="191">
        <f>12300*3.4%</f>
        <v>418.20000000000005</v>
      </c>
      <c r="F15" s="192">
        <f>12300*10.6%</f>
        <v>1303.8</v>
      </c>
    </row>
    <row r="16" spans="2:6" ht="12.75">
      <c r="B16" s="189" t="s">
        <v>63</v>
      </c>
      <c r="C16" s="191"/>
      <c r="D16" s="191"/>
      <c r="E16" s="191"/>
      <c r="F16" s="192"/>
    </row>
    <row r="17" spans="2:6" ht="12.75">
      <c r="B17" s="190" t="s">
        <v>119</v>
      </c>
      <c r="C17" s="191">
        <v>0</v>
      </c>
      <c r="D17" s="191">
        <v>0</v>
      </c>
      <c r="E17" s="191">
        <v>0</v>
      </c>
      <c r="F17" s="192">
        <v>0</v>
      </c>
    </row>
    <row r="18" spans="2:6" ht="13.5" thickBot="1">
      <c r="B18" s="193"/>
      <c r="C18" s="194"/>
      <c r="D18" s="194"/>
      <c r="E18" s="194"/>
      <c r="F18" s="195"/>
    </row>
    <row r="19" spans="2:6" ht="13.5" thickBot="1">
      <c r="B19" s="196" t="s">
        <v>120</v>
      </c>
      <c r="C19" s="197">
        <f>SUM(C8:C15)</f>
        <v>1906.77</v>
      </c>
      <c r="D19" s="197">
        <f>SUM(D8:D15)</f>
        <v>3270.2279999999996</v>
      </c>
      <c r="E19" s="197">
        <f>SUM(E8:E15)</f>
        <v>4621.148999999999</v>
      </c>
      <c r="F19" s="198">
        <f>SUM(F8:F15)</f>
        <v>5493.615</v>
      </c>
    </row>
    <row r="21" ht="13.5" thickBot="1"/>
    <row r="22" spans="2:6" ht="12.75">
      <c r="B22" s="183" t="s">
        <v>121</v>
      </c>
      <c r="C22" s="184" t="s">
        <v>1</v>
      </c>
      <c r="D22" s="184" t="s">
        <v>2</v>
      </c>
      <c r="E22" s="184" t="s">
        <v>37</v>
      </c>
      <c r="F22" s="185" t="s">
        <v>63</v>
      </c>
    </row>
    <row r="23" spans="2:6" ht="13.5" thickBot="1">
      <c r="B23" s="186"/>
      <c r="C23" s="187" t="s">
        <v>113</v>
      </c>
      <c r="D23" s="187" t="s">
        <v>113</v>
      </c>
      <c r="E23" s="187" t="s">
        <v>113</v>
      </c>
      <c r="F23" s="188" t="s">
        <v>113</v>
      </c>
    </row>
    <row r="24" spans="2:6" ht="12.75">
      <c r="B24" s="189" t="s">
        <v>0</v>
      </c>
      <c r="C24" s="15"/>
      <c r="D24" s="15"/>
      <c r="E24" s="15"/>
      <c r="F24" s="14"/>
    </row>
    <row r="25" spans="2:6" ht="12.75">
      <c r="B25" s="190" t="s">
        <v>119</v>
      </c>
      <c r="C25" s="191">
        <f>0*4.1%</f>
        <v>0</v>
      </c>
      <c r="D25" s="191">
        <f>0*12.1%</f>
        <v>0</v>
      </c>
      <c r="E25" s="191">
        <f>0*11.6%</f>
        <v>0</v>
      </c>
      <c r="F25" s="192">
        <f>0*11.6%</f>
        <v>0</v>
      </c>
    </row>
    <row r="26" spans="2:6" ht="12.75">
      <c r="B26" s="189" t="s">
        <v>1</v>
      </c>
      <c r="C26" s="15"/>
      <c r="D26" s="15"/>
      <c r="E26" s="15"/>
      <c r="F26" s="14"/>
    </row>
    <row r="27" spans="2:6" ht="12.75">
      <c r="B27" s="190" t="s">
        <v>119</v>
      </c>
      <c r="C27" s="191">
        <f>0*4.1%</f>
        <v>0</v>
      </c>
      <c r="D27" s="191">
        <f>0*12.1%</f>
        <v>0</v>
      </c>
      <c r="E27" s="191">
        <f>0*11.6%</f>
        <v>0</v>
      </c>
      <c r="F27" s="192">
        <f>0*11.6%</f>
        <v>0</v>
      </c>
    </row>
    <row r="28" spans="2:6" ht="12.75">
      <c r="B28" s="189" t="s">
        <v>2</v>
      </c>
      <c r="C28" s="199"/>
      <c r="D28" s="199"/>
      <c r="E28" s="199"/>
      <c r="F28" s="200"/>
    </row>
    <row r="29" spans="2:6" ht="12.75">
      <c r="B29" s="190" t="s">
        <v>119</v>
      </c>
      <c r="C29" s="191">
        <v>0</v>
      </c>
      <c r="D29" s="191">
        <f>0*4.1%</f>
        <v>0</v>
      </c>
      <c r="E29" s="191">
        <f>0*12.1%</f>
        <v>0</v>
      </c>
      <c r="F29" s="192">
        <f>0*12.1%</f>
        <v>0</v>
      </c>
    </row>
    <row r="30" spans="2:6" ht="12.75">
      <c r="B30" s="189" t="s">
        <v>37</v>
      </c>
      <c r="C30" s="199"/>
      <c r="D30" s="199"/>
      <c r="E30" s="199"/>
      <c r="F30" s="200"/>
    </row>
    <row r="31" spans="2:6" ht="12.75">
      <c r="B31" s="190" t="s">
        <v>119</v>
      </c>
      <c r="C31" s="191">
        <v>0</v>
      </c>
      <c r="D31" s="191">
        <v>0</v>
      </c>
      <c r="E31" s="191">
        <f>0*4.1%</f>
        <v>0</v>
      </c>
      <c r="F31" s="192">
        <f>0*4.1%</f>
        <v>0</v>
      </c>
    </row>
    <row r="32" spans="2:6" ht="12.75">
      <c r="B32" s="189" t="s">
        <v>63</v>
      </c>
      <c r="C32" s="191"/>
      <c r="D32" s="191"/>
      <c r="E32" s="191"/>
      <c r="F32" s="192"/>
    </row>
    <row r="33" spans="2:6" ht="12.75">
      <c r="B33" s="190" t="s">
        <v>119</v>
      </c>
      <c r="C33" s="191">
        <v>0</v>
      </c>
      <c r="D33" s="191">
        <v>0</v>
      </c>
      <c r="E33" s="191">
        <v>0</v>
      </c>
      <c r="F33" s="192">
        <v>0</v>
      </c>
    </row>
    <row r="34" spans="2:6" ht="13.5" thickBot="1">
      <c r="B34" s="186"/>
      <c r="C34" s="201"/>
      <c r="D34" s="201"/>
      <c r="E34" s="201"/>
      <c r="F34" s="202"/>
    </row>
    <row r="35" spans="2:6" ht="13.5" thickBot="1">
      <c r="B35" s="196" t="s">
        <v>120</v>
      </c>
      <c r="C35" s="197">
        <f>SUM(C27:C34)</f>
        <v>0</v>
      </c>
      <c r="D35" s="197">
        <f>SUM(D27:D34)</f>
        <v>0</v>
      </c>
      <c r="E35" s="197">
        <f>SUM(E27:E34)</f>
        <v>0</v>
      </c>
      <c r="F35" s="198">
        <f>SUM(F27:F34)</f>
        <v>0</v>
      </c>
    </row>
    <row r="38" spans="1:2" ht="14.25">
      <c r="A38" s="1"/>
      <c r="B38" s="203" t="s">
        <v>122</v>
      </c>
    </row>
    <row r="39" spans="1:2" ht="14.25">
      <c r="A39" s="1"/>
      <c r="B39" s="203" t="s">
        <v>123</v>
      </c>
    </row>
    <row r="40" spans="1:2" ht="14.25">
      <c r="A40" s="1"/>
      <c r="B40" s="203" t="s">
        <v>124</v>
      </c>
    </row>
    <row r="41" spans="1:2" ht="14.25">
      <c r="A41" s="1"/>
      <c r="B41" s="203"/>
    </row>
    <row r="42" spans="1:2" ht="14.25">
      <c r="A42" s="1"/>
      <c r="B42" s="203" t="s">
        <v>125</v>
      </c>
    </row>
    <row r="43" spans="1:2" ht="14.25">
      <c r="A43" s="1"/>
      <c r="B43" s="203"/>
    </row>
    <row r="44" spans="1:2" ht="14.25">
      <c r="A44" s="1"/>
      <c r="B44" s="203" t="s">
        <v>126</v>
      </c>
    </row>
    <row r="45" spans="1:2" ht="14.25">
      <c r="A45" s="1"/>
      <c r="B45" s="203" t="s">
        <v>127</v>
      </c>
    </row>
    <row r="46" spans="1:2" ht="14.25">
      <c r="A46" s="1"/>
      <c r="B46" s="203" t="s">
        <v>128</v>
      </c>
    </row>
    <row r="47" spans="1:2" ht="14.25">
      <c r="A47" s="1"/>
      <c r="B47" s="203"/>
    </row>
    <row r="48" spans="1:2" ht="14.25">
      <c r="A48" s="1"/>
      <c r="B48" s="203" t="s">
        <v>129</v>
      </c>
    </row>
    <row r="49" spans="1:2" ht="14.25">
      <c r="A49" s="1"/>
      <c r="B49" s="203" t="s">
        <v>130</v>
      </c>
    </row>
    <row r="50" spans="1:2" ht="14.25">
      <c r="A50" s="1"/>
      <c r="B50" s="203" t="s">
        <v>131</v>
      </c>
    </row>
    <row r="51" spans="1:6" ht="14.25">
      <c r="A51" s="1"/>
      <c r="B51" s="1" t="s">
        <v>132</v>
      </c>
      <c r="C51" s="2"/>
      <c r="D51" s="2"/>
      <c r="E51" s="1"/>
      <c r="F51" s="1"/>
    </row>
    <row r="52" spans="1:6" ht="14.25">
      <c r="A52" s="1"/>
      <c r="B52" s="1" t="s">
        <v>133</v>
      </c>
      <c r="C52" s="2"/>
      <c r="D52" s="2"/>
      <c r="E52" s="1"/>
      <c r="F52" s="1"/>
    </row>
    <row r="53" spans="1:6" ht="14.25">
      <c r="A53" s="1"/>
      <c r="B53" s="1" t="s">
        <v>134</v>
      </c>
      <c r="C53" s="2"/>
      <c r="D53" s="2"/>
      <c r="E53" s="1"/>
      <c r="F53" s="1"/>
    </row>
  </sheetData>
  <mergeCells count="1">
    <mergeCell ref="B3:F3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1"/>
  <sheetViews>
    <sheetView workbookViewId="0" topLeftCell="A55">
      <selection activeCell="A68" sqref="A68:H68"/>
    </sheetView>
  </sheetViews>
  <sheetFormatPr defaultColWidth="9.140625" defaultRowHeight="12.75"/>
  <cols>
    <col min="1" max="1" width="5.7109375" style="1" customWidth="1"/>
    <col min="2" max="2" width="61.8515625" style="1" customWidth="1"/>
    <col min="3" max="3" width="12.7109375" style="1" customWidth="1"/>
    <col min="4" max="5" width="12.28125" style="1" customWidth="1"/>
    <col min="6" max="6" width="1.28515625" style="1" customWidth="1"/>
    <col min="7" max="7" width="12.57421875" style="1" customWidth="1"/>
    <col min="8" max="8" width="12.7109375" style="2" customWidth="1"/>
    <col min="9" max="9" width="12.7109375" style="1" customWidth="1"/>
    <col min="10" max="16384" width="9.140625" style="1" customWidth="1"/>
  </cols>
  <sheetData>
    <row r="1" spans="1:8" ht="18">
      <c r="A1" s="310" t="s">
        <v>41</v>
      </c>
      <c r="B1" s="310"/>
      <c r="C1" s="310"/>
      <c r="D1" s="310"/>
      <c r="E1" s="310"/>
      <c r="F1" s="310"/>
      <c r="G1" s="310"/>
      <c r="H1" s="310"/>
    </row>
    <row r="2" spans="1:8" ht="14.25" customHeight="1">
      <c r="A2" s="17"/>
      <c r="B2" s="18"/>
      <c r="C2" s="18"/>
      <c r="D2" s="18"/>
      <c r="E2" s="18"/>
      <c r="F2" s="18"/>
      <c r="G2" s="18"/>
      <c r="H2" s="18"/>
    </row>
    <row r="3" spans="1:8" ht="18">
      <c r="A3" s="310" t="s">
        <v>33</v>
      </c>
      <c r="B3" s="310"/>
      <c r="C3" s="310"/>
      <c r="D3" s="310"/>
      <c r="E3" s="310"/>
      <c r="F3" s="310"/>
      <c r="G3" s="310"/>
      <c r="H3" s="310"/>
    </row>
    <row r="4" spans="1:8" ht="14.25" customHeight="1">
      <c r="A4" s="17"/>
      <c r="B4" s="17"/>
      <c r="C4" s="17"/>
      <c r="D4" s="17"/>
      <c r="E4" s="17"/>
      <c r="F4" s="17"/>
      <c r="G4" s="17"/>
      <c r="H4" s="17"/>
    </row>
    <row r="5" ht="15" thickBot="1"/>
    <row r="6" spans="2:9" ht="14.25">
      <c r="B6" s="126"/>
      <c r="C6" s="107" t="s">
        <v>0</v>
      </c>
      <c r="D6" s="73" t="s">
        <v>0</v>
      </c>
      <c r="E6" s="108" t="s">
        <v>0</v>
      </c>
      <c r="F6" s="142"/>
      <c r="G6" s="107" t="s">
        <v>1</v>
      </c>
      <c r="H6" s="73" t="s">
        <v>1</v>
      </c>
      <c r="I6" s="108" t="s">
        <v>1</v>
      </c>
    </row>
    <row r="7" spans="2:9" ht="14.25">
      <c r="B7" s="127"/>
      <c r="C7" s="109" t="s">
        <v>105</v>
      </c>
      <c r="D7" s="3" t="s">
        <v>42</v>
      </c>
      <c r="E7" s="52" t="s">
        <v>4</v>
      </c>
      <c r="F7" s="143"/>
      <c r="G7" s="109" t="s">
        <v>107</v>
      </c>
      <c r="H7" s="3" t="s">
        <v>42</v>
      </c>
      <c r="I7" s="52" t="s">
        <v>4</v>
      </c>
    </row>
    <row r="8" spans="2:9" ht="14.25">
      <c r="B8" s="127" t="s">
        <v>3</v>
      </c>
      <c r="C8" s="109" t="s">
        <v>4</v>
      </c>
      <c r="D8" s="3" t="s">
        <v>4</v>
      </c>
      <c r="E8" s="52" t="s">
        <v>106</v>
      </c>
      <c r="F8" s="143"/>
      <c r="G8" s="109" t="s">
        <v>108</v>
      </c>
      <c r="H8" s="3" t="s">
        <v>4</v>
      </c>
      <c r="I8" s="52" t="s">
        <v>106</v>
      </c>
    </row>
    <row r="9" spans="2:9" ht="14.25">
      <c r="B9" s="128"/>
      <c r="C9" s="110" t="s">
        <v>5</v>
      </c>
      <c r="D9" s="45" t="s">
        <v>5</v>
      </c>
      <c r="E9" s="111" t="s">
        <v>5</v>
      </c>
      <c r="F9" s="144"/>
      <c r="G9" s="110" t="s">
        <v>5</v>
      </c>
      <c r="H9" s="45" t="s">
        <v>5</v>
      </c>
      <c r="I9" s="111" t="s">
        <v>5</v>
      </c>
    </row>
    <row r="10" spans="2:9" ht="14.25">
      <c r="B10" s="129" t="s">
        <v>6</v>
      </c>
      <c r="C10" s="56"/>
      <c r="D10" s="21"/>
      <c r="E10" s="112"/>
      <c r="F10" s="145"/>
      <c r="G10" s="152"/>
      <c r="H10" s="6"/>
      <c r="I10" s="112"/>
    </row>
    <row r="11" spans="2:9" ht="14.25">
      <c r="B11" s="129" t="s">
        <v>29</v>
      </c>
      <c r="C11" s="56"/>
      <c r="D11" s="21"/>
      <c r="E11" s="112"/>
      <c r="F11" s="145"/>
      <c r="G11" s="152"/>
      <c r="H11" s="6"/>
      <c r="I11" s="112"/>
    </row>
    <row r="12" spans="2:9" ht="14.25">
      <c r="B12" s="130" t="s">
        <v>47</v>
      </c>
      <c r="C12" s="113">
        <v>-6946</v>
      </c>
      <c r="D12" s="6">
        <v>-7385</v>
      </c>
      <c r="E12" s="114">
        <f>D12-C12</f>
        <v>-439</v>
      </c>
      <c r="F12" s="146"/>
      <c r="G12" s="115">
        <v>-7518</v>
      </c>
      <c r="H12" s="6">
        <f>-2187+-3465+-173</f>
        <v>-5825</v>
      </c>
      <c r="I12" s="114">
        <f>H12-G12</f>
        <v>1693</v>
      </c>
    </row>
    <row r="13" spans="2:9" ht="14.25">
      <c r="B13" s="130" t="s">
        <v>48</v>
      </c>
      <c r="C13" s="113">
        <f>-10557--5129</f>
        <v>-5428</v>
      </c>
      <c r="D13" s="6">
        <f>-10880--5129</f>
        <v>-5751</v>
      </c>
      <c r="E13" s="114">
        <f aca="true" t="shared" si="0" ref="E13:E24">D13-C13</f>
        <v>-323</v>
      </c>
      <c r="F13" s="146"/>
      <c r="G13" s="115">
        <f>-6690--5000</f>
        <v>-1690</v>
      </c>
      <c r="H13" s="6">
        <v>-2401</v>
      </c>
      <c r="I13" s="114">
        <f aca="true" t="shared" si="1" ref="I13:I25">H13-G13</f>
        <v>-711</v>
      </c>
    </row>
    <row r="14" spans="2:9" ht="14.25">
      <c r="B14" s="131" t="s">
        <v>49</v>
      </c>
      <c r="C14" s="115">
        <v>-5129</v>
      </c>
      <c r="D14" s="10">
        <v>-5129</v>
      </c>
      <c r="E14" s="114">
        <f t="shared" si="0"/>
        <v>0</v>
      </c>
      <c r="F14" s="146"/>
      <c r="G14" s="115">
        <v>-5000</v>
      </c>
      <c r="H14" s="10">
        <v>-5000</v>
      </c>
      <c r="I14" s="114">
        <f t="shared" si="1"/>
        <v>0</v>
      </c>
    </row>
    <row r="15" spans="2:9" ht="14.25">
      <c r="B15" s="131" t="s">
        <v>52</v>
      </c>
      <c r="C15" s="115">
        <v>0</v>
      </c>
      <c r="D15" s="10">
        <v>-1247</v>
      </c>
      <c r="E15" s="114">
        <f t="shared" si="0"/>
        <v>-1247</v>
      </c>
      <c r="F15" s="146"/>
      <c r="G15" s="115">
        <v>0</v>
      </c>
      <c r="H15" s="10">
        <v>-1270</v>
      </c>
      <c r="I15" s="114">
        <f t="shared" si="1"/>
        <v>-1270</v>
      </c>
    </row>
    <row r="16" spans="2:9" ht="14.25">
      <c r="B16" s="131" t="s">
        <v>8</v>
      </c>
      <c r="C16" s="115">
        <v>-5658</v>
      </c>
      <c r="D16" s="10">
        <v>-5055</v>
      </c>
      <c r="E16" s="114">
        <f t="shared" si="0"/>
        <v>603</v>
      </c>
      <c r="F16" s="146"/>
      <c r="G16" s="115">
        <v>-500</v>
      </c>
      <c r="H16" s="6">
        <v>-4400</v>
      </c>
      <c r="I16" s="114">
        <f t="shared" si="1"/>
        <v>-3900</v>
      </c>
    </row>
    <row r="17" spans="2:9" ht="14.25">
      <c r="B17" s="130" t="s">
        <v>7</v>
      </c>
      <c r="C17" s="113">
        <f>-2255--2255</f>
        <v>0</v>
      </c>
      <c r="D17" s="6">
        <v>0</v>
      </c>
      <c r="E17" s="114">
        <f t="shared" si="0"/>
        <v>0</v>
      </c>
      <c r="F17" s="146"/>
      <c r="G17" s="115">
        <v>-300</v>
      </c>
      <c r="H17" s="6">
        <v>-300</v>
      </c>
      <c r="I17" s="114">
        <f t="shared" si="1"/>
        <v>0</v>
      </c>
    </row>
    <row r="18" spans="2:9" ht="14.25">
      <c r="B18" s="130" t="s">
        <v>60</v>
      </c>
      <c r="C18" s="113">
        <f>-1600+-1883</f>
        <v>-3483</v>
      </c>
      <c r="D18" s="6">
        <f>-1600+-2019</f>
        <v>-3619</v>
      </c>
      <c r="E18" s="114">
        <f t="shared" si="0"/>
        <v>-136</v>
      </c>
      <c r="F18" s="146"/>
      <c r="G18" s="115"/>
      <c r="H18" s="6">
        <v>-1401</v>
      </c>
      <c r="I18" s="114">
        <f t="shared" si="1"/>
        <v>-1401</v>
      </c>
    </row>
    <row r="19" spans="2:9" ht="14.25">
      <c r="B19" s="131" t="s">
        <v>61</v>
      </c>
      <c r="C19" s="115">
        <v>0</v>
      </c>
      <c r="D19" s="10">
        <v>-200</v>
      </c>
      <c r="E19" s="114">
        <f t="shared" si="0"/>
        <v>-200</v>
      </c>
      <c r="F19" s="146"/>
      <c r="G19" s="115"/>
      <c r="H19" s="6">
        <v>-200</v>
      </c>
      <c r="I19" s="114">
        <f t="shared" si="1"/>
        <v>-200</v>
      </c>
    </row>
    <row r="20" spans="2:9" ht="14.25">
      <c r="B20" s="131" t="s">
        <v>43</v>
      </c>
      <c r="C20" s="115">
        <f>-9515+-2255</f>
        <v>-11770</v>
      </c>
      <c r="D20" s="10">
        <f>-18051+-3632+2006</f>
        <v>-19677</v>
      </c>
      <c r="E20" s="114">
        <f t="shared" si="0"/>
        <v>-7907</v>
      </c>
      <c r="F20" s="146"/>
      <c r="G20" s="115">
        <v>-330</v>
      </c>
      <c r="H20" s="6">
        <v>-6112</v>
      </c>
      <c r="I20" s="114">
        <f t="shared" si="1"/>
        <v>-5782</v>
      </c>
    </row>
    <row r="21" spans="2:9" ht="15" thickBot="1">
      <c r="B21" s="131" t="s">
        <v>64</v>
      </c>
      <c r="C21" s="115">
        <v>-20</v>
      </c>
      <c r="D21" s="10">
        <v>-20</v>
      </c>
      <c r="E21" s="114">
        <f t="shared" si="0"/>
        <v>0</v>
      </c>
      <c r="F21" s="146"/>
      <c r="G21" s="115"/>
      <c r="H21" s="6">
        <v>0</v>
      </c>
      <c r="I21" s="114">
        <f t="shared" si="1"/>
        <v>0</v>
      </c>
    </row>
    <row r="22" spans="2:9" ht="14.25">
      <c r="B22" s="153" t="s">
        <v>44</v>
      </c>
      <c r="C22" s="154">
        <f>-16259--2000--385</f>
        <v>-13874</v>
      </c>
      <c r="D22" s="155">
        <f>-14259--417</f>
        <v>-13842</v>
      </c>
      <c r="E22" s="156">
        <f t="shared" si="0"/>
        <v>32</v>
      </c>
      <c r="F22" s="157"/>
      <c r="G22" s="158">
        <v>-12927</v>
      </c>
      <c r="H22" s="155">
        <f>-14627+1700</f>
        <v>-12927</v>
      </c>
      <c r="I22" s="156">
        <f t="shared" si="1"/>
        <v>0</v>
      </c>
    </row>
    <row r="23" spans="2:9" ht="14.25">
      <c r="B23" s="129" t="s">
        <v>58</v>
      </c>
      <c r="C23" s="113">
        <v>-385</v>
      </c>
      <c r="D23" s="6">
        <f>-180+-50+-187</f>
        <v>-417</v>
      </c>
      <c r="E23" s="114">
        <f t="shared" si="0"/>
        <v>-32</v>
      </c>
      <c r="F23" s="146"/>
      <c r="G23" s="115">
        <v>0</v>
      </c>
      <c r="H23" s="10">
        <v>-150</v>
      </c>
      <c r="I23" s="114">
        <f t="shared" si="1"/>
        <v>-150</v>
      </c>
    </row>
    <row r="24" spans="2:9" ht="15" thickBot="1">
      <c r="B24" s="159" t="s">
        <v>56</v>
      </c>
      <c r="C24" s="160">
        <v>-2000</v>
      </c>
      <c r="D24" s="161">
        <v>0</v>
      </c>
      <c r="E24" s="162">
        <f t="shared" si="0"/>
        <v>2000</v>
      </c>
      <c r="F24" s="163"/>
      <c r="G24" s="160">
        <v>0</v>
      </c>
      <c r="H24" s="164">
        <v>-2000</v>
      </c>
      <c r="I24" s="162">
        <f t="shared" si="1"/>
        <v>-2000</v>
      </c>
    </row>
    <row r="25" spans="2:9" ht="14.25">
      <c r="B25" s="132" t="s">
        <v>109</v>
      </c>
      <c r="C25" s="117">
        <v>0</v>
      </c>
      <c r="D25" s="46">
        <v>0</v>
      </c>
      <c r="E25" s="165">
        <v>0</v>
      </c>
      <c r="F25" s="166"/>
      <c r="G25" s="117">
        <v>-7291</v>
      </c>
      <c r="H25" s="167">
        <v>0</v>
      </c>
      <c r="I25" s="168">
        <f t="shared" si="1"/>
        <v>7291</v>
      </c>
    </row>
    <row r="26" spans="2:9" ht="14.25">
      <c r="B26" s="133" t="s">
        <v>9</v>
      </c>
      <c r="C26" s="118">
        <f>SUM(C12:C25)</f>
        <v>-54693</v>
      </c>
      <c r="D26" s="22">
        <f>SUM(D12:D24)</f>
        <v>-62342</v>
      </c>
      <c r="E26" s="119">
        <f>SUM(E12:E24)</f>
        <v>-7649</v>
      </c>
      <c r="F26" s="147"/>
      <c r="G26" s="118">
        <f>SUM(G12:G25)</f>
        <v>-35556</v>
      </c>
      <c r="H26" s="22">
        <f>SUM(H12:H25)</f>
        <v>-41986</v>
      </c>
      <c r="I26" s="119">
        <f>SUM(I12:I25)</f>
        <v>-6430</v>
      </c>
    </row>
    <row r="27" spans="2:9" ht="14.25">
      <c r="B27" s="129" t="s">
        <v>10</v>
      </c>
      <c r="C27" s="116"/>
      <c r="D27" s="21"/>
      <c r="E27" s="112"/>
      <c r="F27" s="145"/>
      <c r="G27" s="152"/>
      <c r="H27" s="6"/>
      <c r="I27" s="112"/>
    </row>
    <row r="28" spans="2:9" ht="14.25">
      <c r="B28" s="134" t="s">
        <v>11</v>
      </c>
      <c r="C28" s="116"/>
      <c r="D28" s="23"/>
      <c r="E28" s="120"/>
      <c r="F28" s="148"/>
      <c r="G28" s="64"/>
      <c r="H28" s="6"/>
      <c r="I28" s="120"/>
    </row>
    <row r="29" spans="2:9" ht="14.25">
      <c r="B29" s="135" t="s">
        <v>36</v>
      </c>
      <c r="C29" s="115">
        <f>13252-2000</f>
        <v>11252</v>
      </c>
      <c r="D29" s="24">
        <v>15936</v>
      </c>
      <c r="E29" s="114">
        <f>D29-C29</f>
        <v>4684</v>
      </c>
      <c r="F29" s="146"/>
      <c r="G29" s="115">
        <f>9489-2000</f>
        <v>7489</v>
      </c>
      <c r="H29" s="6">
        <v>12186</v>
      </c>
      <c r="I29" s="114">
        <f>H29-G29</f>
        <v>4697</v>
      </c>
    </row>
    <row r="30" spans="2:9" ht="14.25">
      <c r="B30" s="135" t="s">
        <v>57</v>
      </c>
      <c r="C30" s="115">
        <v>2000</v>
      </c>
      <c r="D30" s="24">
        <v>0</v>
      </c>
      <c r="E30" s="114">
        <f>D30-C30</f>
        <v>-2000</v>
      </c>
      <c r="F30" s="146"/>
      <c r="G30" s="115">
        <v>2000</v>
      </c>
      <c r="H30" s="6">
        <v>2000</v>
      </c>
      <c r="I30" s="114">
        <f>H30-G30</f>
        <v>0</v>
      </c>
    </row>
    <row r="31" spans="2:9" ht="14.25">
      <c r="B31" s="136" t="s">
        <v>12</v>
      </c>
      <c r="C31" s="66">
        <f>SUM(C29:C30)</f>
        <v>13252</v>
      </c>
      <c r="D31" s="8">
        <f>SUM(D29:D30)</f>
        <v>15936</v>
      </c>
      <c r="E31" s="63">
        <f>SUM(E29:E30)</f>
        <v>2684</v>
      </c>
      <c r="F31" s="149"/>
      <c r="G31" s="66">
        <f>SUM(G29:G30)</f>
        <v>9489</v>
      </c>
      <c r="H31" s="8">
        <f>SUM(H29:H30)</f>
        <v>14186</v>
      </c>
      <c r="I31" s="63">
        <f>SUM(I29:I30)</f>
        <v>4697</v>
      </c>
    </row>
    <row r="32" spans="2:9" ht="14.25">
      <c r="B32" s="137" t="s">
        <v>13</v>
      </c>
      <c r="C32" s="62"/>
      <c r="D32" s="25"/>
      <c r="E32" s="121"/>
      <c r="F32" s="148"/>
      <c r="G32" s="64"/>
      <c r="H32" s="6"/>
      <c r="I32" s="121"/>
    </row>
    <row r="33" spans="2:9" ht="14.25">
      <c r="B33" s="135" t="s">
        <v>32</v>
      </c>
      <c r="C33" s="115">
        <v>5129</v>
      </c>
      <c r="D33" s="24">
        <v>5129</v>
      </c>
      <c r="E33" s="114">
        <f>D33-C33</f>
        <v>0</v>
      </c>
      <c r="F33" s="146"/>
      <c r="G33" s="115">
        <v>5000</v>
      </c>
      <c r="H33" s="6">
        <v>5000</v>
      </c>
      <c r="I33" s="114">
        <f>H33-G33</f>
        <v>0</v>
      </c>
    </row>
    <row r="34" spans="2:9" ht="14.25">
      <c r="B34" s="135" t="s">
        <v>36</v>
      </c>
      <c r="C34" s="115">
        <f>15841-5129</f>
        <v>10712</v>
      </c>
      <c r="D34" s="24">
        <f>15136-5129</f>
        <v>10007</v>
      </c>
      <c r="E34" s="114">
        <f>D34-C34</f>
        <v>-705</v>
      </c>
      <c r="F34" s="146"/>
      <c r="G34" s="115">
        <f>5220+55</f>
        <v>5275</v>
      </c>
      <c r="H34" s="6">
        <f>650+4570+55+1620-915+515</f>
        <v>6495</v>
      </c>
      <c r="I34" s="114">
        <f>H34-G34</f>
        <v>1220</v>
      </c>
    </row>
    <row r="35" spans="2:9" ht="14.25">
      <c r="B35" s="135" t="s">
        <v>55</v>
      </c>
      <c r="C35" s="115">
        <v>0</v>
      </c>
      <c r="D35" s="24">
        <v>0</v>
      </c>
      <c r="E35" s="114">
        <f>D35-C35</f>
        <v>0</v>
      </c>
      <c r="F35" s="146"/>
      <c r="G35" s="115">
        <v>0</v>
      </c>
      <c r="H35" s="6">
        <v>200</v>
      </c>
      <c r="I35" s="114">
        <f>H35-G35</f>
        <v>200</v>
      </c>
    </row>
    <row r="36" spans="2:9" ht="14.25">
      <c r="B36" s="136" t="s">
        <v>14</v>
      </c>
      <c r="C36" s="66">
        <f>SUM(C33:C35)</f>
        <v>15841</v>
      </c>
      <c r="D36" s="8">
        <f>SUM(D33:D35)</f>
        <v>15136</v>
      </c>
      <c r="E36" s="63">
        <f>SUM(E33:E35)</f>
        <v>-705</v>
      </c>
      <c r="F36" s="149"/>
      <c r="G36" s="66">
        <f>SUM(G33:G35)</f>
        <v>10275</v>
      </c>
      <c r="H36" s="8">
        <f>SUM(H33:H35)</f>
        <v>11695</v>
      </c>
      <c r="I36" s="63">
        <f>SUM(I33:I35)</f>
        <v>1420</v>
      </c>
    </row>
    <row r="37" spans="2:9" ht="14.25">
      <c r="B37" s="137" t="s">
        <v>15</v>
      </c>
      <c r="C37" s="62"/>
      <c r="D37" s="25"/>
      <c r="E37" s="121"/>
      <c r="F37" s="148"/>
      <c r="G37" s="64"/>
      <c r="H37" s="6"/>
      <c r="I37" s="121"/>
    </row>
    <row r="38" spans="2:9" ht="14.25">
      <c r="B38" s="135" t="s">
        <v>36</v>
      </c>
      <c r="C38" s="115">
        <v>1945</v>
      </c>
      <c r="D38" s="24">
        <v>1157</v>
      </c>
      <c r="E38" s="114">
        <f>D38-C38</f>
        <v>-788</v>
      </c>
      <c r="F38" s="146"/>
      <c r="G38" s="115">
        <f>440+1868</f>
        <v>2308</v>
      </c>
      <c r="H38" s="6">
        <f>2073-150-500-17-250</f>
        <v>1156</v>
      </c>
      <c r="I38" s="114">
        <f>H38-G38</f>
        <v>-1152</v>
      </c>
    </row>
    <row r="39" spans="2:9" ht="14.25">
      <c r="B39" s="136" t="s">
        <v>16</v>
      </c>
      <c r="C39" s="68">
        <f>SUM(C38:C38)</f>
        <v>1945</v>
      </c>
      <c r="D39" s="9">
        <f>SUM(D38:D38)</f>
        <v>1157</v>
      </c>
      <c r="E39" s="122">
        <f>SUM(E38:E38)</f>
        <v>-788</v>
      </c>
      <c r="F39" s="149"/>
      <c r="G39" s="68">
        <f>SUM(G38:G38)</f>
        <v>2308</v>
      </c>
      <c r="H39" s="9">
        <f>SUM(H38:H38)</f>
        <v>1156</v>
      </c>
      <c r="I39" s="122">
        <f>SUM(I38:I38)</f>
        <v>-1152</v>
      </c>
    </row>
    <row r="40" spans="2:9" ht="14.25">
      <c r="B40" s="137" t="s">
        <v>45</v>
      </c>
      <c r="C40" s="62"/>
      <c r="D40" s="25"/>
      <c r="E40" s="121"/>
      <c r="F40" s="148"/>
      <c r="G40" s="64"/>
      <c r="H40" s="6"/>
      <c r="I40" s="121"/>
    </row>
    <row r="41" spans="2:9" ht="14.25">
      <c r="B41" s="135" t="s">
        <v>28</v>
      </c>
      <c r="C41" s="115">
        <v>5000</v>
      </c>
      <c r="D41" s="24">
        <v>5000</v>
      </c>
      <c r="E41" s="114">
        <f>D41-C41</f>
        <v>0</v>
      </c>
      <c r="F41" s="146"/>
      <c r="G41" s="115">
        <v>5300</v>
      </c>
      <c r="H41" s="6">
        <f>5000+350</f>
        <v>5350</v>
      </c>
      <c r="I41" s="114">
        <f>H41-G41</f>
        <v>50</v>
      </c>
    </row>
    <row r="42" spans="2:9" ht="14.25">
      <c r="B42" s="135" t="s">
        <v>17</v>
      </c>
      <c r="C42" s="115">
        <v>3969</v>
      </c>
      <c r="D42" s="24">
        <v>3969</v>
      </c>
      <c r="E42" s="114">
        <f>D42-C42</f>
        <v>0</v>
      </c>
      <c r="F42" s="146"/>
      <c r="G42" s="115">
        <v>3969</v>
      </c>
      <c r="H42" s="6">
        <v>3969</v>
      </c>
      <c r="I42" s="114">
        <f>H42-G42</f>
        <v>0</v>
      </c>
    </row>
    <row r="43" spans="2:9" ht="14.25">
      <c r="B43" s="135" t="s">
        <v>65</v>
      </c>
      <c r="C43" s="115">
        <f>221+37</f>
        <v>258</v>
      </c>
      <c r="D43" s="24">
        <v>221</v>
      </c>
      <c r="E43" s="114">
        <f>D43-C43</f>
        <v>-37</v>
      </c>
      <c r="F43" s="146"/>
      <c r="G43" s="115">
        <v>0</v>
      </c>
      <c r="H43" s="6">
        <v>0</v>
      </c>
      <c r="I43" s="114">
        <f>H43-G43</f>
        <v>0</v>
      </c>
    </row>
    <row r="44" spans="2:9" ht="14.25">
      <c r="B44" s="135" t="s">
        <v>36</v>
      </c>
      <c r="C44" s="115">
        <f>1850+247+300</f>
        <v>2397</v>
      </c>
      <c r="D44" s="24">
        <f>1850+266+300</f>
        <v>2416</v>
      </c>
      <c r="E44" s="114">
        <f>D44-C44</f>
        <v>19</v>
      </c>
      <c r="F44" s="146"/>
      <c r="G44" s="115">
        <v>800</v>
      </c>
      <c r="H44" s="6">
        <f>500+300</f>
        <v>800</v>
      </c>
      <c r="I44" s="114">
        <f>H44-G44</f>
        <v>0</v>
      </c>
    </row>
    <row r="45" spans="2:9" ht="14.25">
      <c r="B45" s="136" t="s">
        <v>19</v>
      </c>
      <c r="C45" s="66">
        <f>SUM(C41:C44)</f>
        <v>11624</v>
      </c>
      <c r="D45" s="8">
        <f>SUM(D41:D44)</f>
        <v>11606</v>
      </c>
      <c r="E45" s="63">
        <f>SUM(E41:E44)</f>
        <v>-18</v>
      </c>
      <c r="F45" s="149"/>
      <c r="G45" s="66">
        <f>SUM(G41:G44)</f>
        <v>10069</v>
      </c>
      <c r="H45" s="8">
        <f>SUM(H41:H44)</f>
        <v>10119</v>
      </c>
      <c r="I45" s="63">
        <f>SUM(I41:I44)</f>
        <v>50</v>
      </c>
    </row>
    <row r="46" spans="2:9" ht="14.25">
      <c r="B46" s="137" t="s">
        <v>20</v>
      </c>
      <c r="C46" s="62"/>
      <c r="D46" s="25"/>
      <c r="E46" s="121"/>
      <c r="F46" s="148"/>
      <c r="G46" s="64"/>
      <c r="H46" s="10"/>
      <c r="I46" s="121"/>
    </row>
    <row r="47" spans="2:9" ht="14.25">
      <c r="B47" s="135" t="s">
        <v>36</v>
      </c>
      <c r="C47" s="115">
        <v>4627</v>
      </c>
      <c r="D47" s="24">
        <v>4071</v>
      </c>
      <c r="E47" s="114">
        <f>D47-C47</f>
        <v>-556</v>
      </c>
      <c r="F47" s="146"/>
      <c r="G47" s="115">
        <f>690</f>
        <v>690</v>
      </c>
      <c r="H47" s="6">
        <f>1172-62</f>
        <v>1110</v>
      </c>
      <c r="I47" s="114">
        <f>H47-G47</f>
        <v>420</v>
      </c>
    </row>
    <row r="48" spans="2:9" ht="14.25">
      <c r="B48" s="135" t="s">
        <v>59</v>
      </c>
      <c r="C48" s="115">
        <v>0</v>
      </c>
      <c r="D48" s="24">
        <v>0</v>
      </c>
      <c r="E48" s="114">
        <f>D48-C48</f>
        <v>0</v>
      </c>
      <c r="F48" s="146"/>
      <c r="G48" s="115">
        <v>0</v>
      </c>
      <c r="H48" s="10">
        <v>150</v>
      </c>
      <c r="I48" s="114">
        <f>H48-G48</f>
        <v>150</v>
      </c>
    </row>
    <row r="49" spans="2:9" ht="14.25">
      <c r="B49" s="136" t="s">
        <v>21</v>
      </c>
      <c r="C49" s="66">
        <f>SUM(C47:C48)</f>
        <v>4627</v>
      </c>
      <c r="D49" s="8">
        <f>SUM(D47:D48)</f>
        <v>4071</v>
      </c>
      <c r="E49" s="63">
        <f>SUM(E47:E48)</f>
        <v>-556</v>
      </c>
      <c r="F49" s="149"/>
      <c r="G49" s="66">
        <f>SUM(G47:G48)</f>
        <v>690</v>
      </c>
      <c r="H49" s="8">
        <f>SUM(H47:H48)</f>
        <v>1260</v>
      </c>
      <c r="I49" s="63">
        <f>SUM(I47:I48)</f>
        <v>570</v>
      </c>
    </row>
    <row r="50" spans="2:9" ht="14.25">
      <c r="B50" s="138" t="s">
        <v>22</v>
      </c>
      <c r="C50" s="66">
        <f>C49+C45+C39+C36+C31</f>
        <v>47289</v>
      </c>
      <c r="D50" s="8">
        <f>D49+D45+D39+D36+D31</f>
        <v>47906</v>
      </c>
      <c r="E50" s="63">
        <f>E49+E45+E39+E36+E31</f>
        <v>617</v>
      </c>
      <c r="F50" s="149"/>
      <c r="G50" s="66">
        <f>G49+G45+G39+G36+G31</f>
        <v>32831</v>
      </c>
      <c r="H50" s="8">
        <f>H49+H45+H39+H36+H31</f>
        <v>38416</v>
      </c>
      <c r="I50" s="63">
        <f>I49+I45+I39+I36+I31</f>
        <v>5585</v>
      </c>
    </row>
    <row r="51" spans="2:9" ht="14.25">
      <c r="B51" s="139" t="s">
        <v>23</v>
      </c>
      <c r="C51" s="123"/>
      <c r="D51" s="27"/>
      <c r="E51" s="124"/>
      <c r="F51" s="150"/>
      <c r="G51" s="67"/>
      <c r="H51" s="44"/>
      <c r="I51" s="124"/>
    </row>
    <row r="52" spans="2:9" ht="14.25">
      <c r="B52" s="135" t="s">
        <v>24</v>
      </c>
      <c r="C52" s="115">
        <v>300</v>
      </c>
      <c r="D52" s="24">
        <v>300</v>
      </c>
      <c r="E52" s="114">
        <f aca="true" t="shared" si="2" ref="E52:E61">D52-C52</f>
        <v>0</v>
      </c>
      <c r="F52" s="146"/>
      <c r="G52" s="115">
        <v>300</v>
      </c>
      <c r="H52" s="6">
        <v>300</v>
      </c>
      <c r="I52" s="114">
        <f aca="true" t="shared" si="3" ref="I52:I61">H52-G52</f>
        <v>0</v>
      </c>
    </row>
    <row r="53" spans="2:9" ht="14.25">
      <c r="B53" s="135" t="s">
        <v>66</v>
      </c>
      <c r="C53" s="115">
        <v>850</v>
      </c>
      <c r="D53" s="24">
        <v>850</v>
      </c>
      <c r="E53" s="114">
        <f t="shared" si="2"/>
        <v>0</v>
      </c>
      <c r="F53" s="146"/>
      <c r="G53" s="115">
        <v>0</v>
      </c>
      <c r="H53" s="6">
        <v>0</v>
      </c>
      <c r="I53" s="114">
        <f t="shared" si="3"/>
        <v>0</v>
      </c>
    </row>
    <row r="54" spans="2:9" ht="14.25">
      <c r="B54" s="135" t="s">
        <v>25</v>
      </c>
      <c r="C54" s="115">
        <v>659</v>
      </c>
      <c r="D54" s="24">
        <v>659</v>
      </c>
      <c r="E54" s="114">
        <f t="shared" si="2"/>
        <v>0</v>
      </c>
      <c r="F54" s="146"/>
      <c r="G54" s="115">
        <v>659</v>
      </c>
      <c r="H54" s="6">
        <v>659</v>
      </c>
      <c r="I54" s="114">
        <f t="shared" si="3"/>
        <v>0</v>
      </c>
    </row>
    <row r="55" spans="2:9" ht="14.25">
      <c r="B55" s="135" t="s">
        <v>67</v>
      </c>
      <c r="C55" s="115">
        <v>140</v>
      </c>
      <c r="D55" s="24">
        <v>140</v>
      </c>
      <c r="E55" s="114">
        <f t="shared" si="2"/>
        <v>0</v>
      </c>
      <c r="F55" s="146"/>
      <c r="G55" s="115">
        <v>0</v>
      </c>
      <c r="H55" s="6">
        <v>0</v>
      </c>
      <c r="I55" s="114">
        <f t="shared" si="3"/>
        <v>0</v>
      </c>
    </row>
    <row r="56" spans="2:9" ht="15" thickBot="1">
      <c r="B56" s="135" t="s">
        <v>68</v>
      </c>
      <c r="C56" s="115">
        <v>42</v>
      </c>
      <c r="D56" s="24">
        <v>42</v>
      </c>
      <c r="E56" s="114">
        <f t="shared" si="2"/>
        <v>0</v>
      </c>
      <c r="F56" s="146"/>
      <c r="G56" s="115">
        <v>0</v>
      </c>
      <c r="H56" s="6">
        <v>0</v>
      </c>
      <c r="I56" s="114">
        <f t="shared" si="3"/>
        <v>0</v>
      </c>
    </row>
    <row r="57" spans="2:15" ht="15" thickBot="1">
      <c r="B57" s="135" t="s">
        <v>69</v>
      </c>
      <c r="C57" s="115">
        <v>250</v>
      </c>
      <c r="D57" s="24">
        <v>250</v>
      </c>
      <c r="E57" s="114">
        <f t="shared" si="2"/>
        <v>0</v>
      </c>
      <c r="F57" s="146"/>
      <c r="G57" s="115">
        <v>0</v>
      </c>
      <c r="H57" s="6">
        <v>0</v>
      </c>
      <c r="I57" s="114">
        <f t="shared" si="3"/>
        <v>0</v>
      </c>
      <c r="O57" s="169"/>
    </row>
    <row r="58" spans="2:9" ht="14.25">
      <c r="B58" s="135" t="s">
        <v>70</v>
      </c>
      <c r="C58" s="115">
        <v>700</v>
      </c>
      <c r="D58" s="24">
        <v>700</v>
      </c>
      <c r="E58" s="114">
        <f t="shared" si="2"/>
        <v>0</v>
      </c>
      <c r="F58" s="146"/>
      <c r="G58" s="115">
        <v>0</v>
      </c>
      <c r="H58" s="6">
        <v>0</v>
      </c>
      <c r="I58" s="114">
        <f t="shared" si="3"/>
        <v>0</v>
      </c>
    </row>
    <row r="59" spans="2:9" ht="14.25">
      <c r="B59" s="135" t="s">
        <v>38</v>
      </c>
      <c r="C59" s="115">
        <f>708+3042+1400-1017</f>
        <v>4133</v>
      </c>
      <c r="D59" s="24">
        <f>708+4292+1400-1017</f>
        <v>5383</v>
      </c>
      <c r="E59" s="114">
        <f t="shared" si="2"/>
        <v>1250</v>
      </c>
      <c r="F59" s="146"/>
      <c r="G59" s="115">
        <v>766</v>
      </c>
      <c r="H59" s="6">
        <v>766</v>
      </c>
      <c r="I59" s="114">
        <f t="shared" si="3"/>
        <v>0</v>
      </c>
    </row>
    <row r="60" spans="2:9" ht="14.25">
      <c r="B60" s="135" t="s">
        <v>62</v>
      </c>
      <c r="C60" s="115">
        <v>0</v>
      </c>
      <c r="D60" s="24">
        <v>0</v>
      </c>
      <c r="E60" s="114">
        <f t="shared" si="2"/>
        <v>0</v>
      </c>
      <c r="F60" s="146"/>
      <c r="G60" s="115">
        <v>0</v>
      </c>
      <c r="H60" s="6">
        <v>80</v>
      </c>
      <c r="I60" s="114">
        <f t="shared" si="3"/>
        <v>80</v>
      </c>
    </row>
    <row r="61" spans="2:9" ht="14.25">
      <c r="B61" s="140" t="s">
        <v>46</v>
      </c>
      <c r="C61" s="115">
        <v>0</v>
      </c>
      <c r="D61" s="24">
        <v>0</v>
      </c>
      <c r="E61" s="114">
        <f t="shared" si="2"/>
        <v>0</v>
      </c>
      <c r="F61" s="146"/>
      <c r="G61" s="115">
        <v>1000</v>
      </c>
      <c r="H61" s="6">
        <v>1000</v>
      </c>
      <c r="I61" s="114">
        <f t="shared" si="3"/>
        <v>0</v>
      </c>
    </row>
    <row r="62" spans="2:9" ht="14.25">
      <c r="B62" s="133" t="s">
        <v>35</v>
      </c>
      <c r="C62" s="68">
        <f>SUM(C52:C61)</f>
        <v>7074</v>
      </c>
      <c r="D62" s="9">
        <f>SUM(D52:D61)</f>
        <v>8324</v>
      </c>
      <c r="E62" s="122">
        <f>SUM(E52:E61)</f>
        <v>1250</v>
      </c>
      <c r="F62" s="149"/>
      <c r="G62" s="68">
        <f>SUM(G52:G61)</f>
        <v>2725</v>
      </c>
      <c r="H62" s="9">
        <f>SUM(H52:H61)</f>
        <v>2805</v>
      </c>
      <c r="I62" s="122">
        <f>SUM(I52:I61)</f>
        <v>80</v>
      </c>
    </row>
    <row r="63" spans="2:9" ht="14.25">
      <c r="B63" s="141" t="s">
        <v>26</v>
      </c>
      <c r="C63" s="90">
        <f>C62+C50</f>
        <v>54363</v>
      </c>
      <c r="D63" s="91">
        <f>D62+D50</f>
        <v>56230</v>
      </c>
      <c r="E63" s="125">
        <f>E62+E50</f>
        <v>1867</v>
      </c>
      <c r="F63" s="151"/>
      <c r="G63" s="90">
        <f>G62+G50</f>
        <v>35556</v>
      </c>
      <c r="H63" s="91">
        <f>H62+H50</f>
        <v>41221</v>
      </c>
      <c r="I63" s="125">
        <f>I62+I50</f>
        <v>5665</v>
      </c>
    </row>
    <row r="64" spans="2:9" ht="15" thickBot="1">
      <c r="B64" s="170" t="s">
        <v>27</v>
      </c>
      <c r="C64" s="70">
        <f>C63+C26</f>
        <v>-330</v>
      </c>
      <c r="D64" s="71">
        <f>D63+D26</f>
        <v>-6112</v>
      </c>
      <c r="E64" s="171">
        <f>E63+E26</f>
        <v>-5782</v>
      </c>
      <c r="F64" s="172"/>
      <c r="G64" s="70">
        <f>G63+G26</f>
        <v>0</v>
      </c>
      <c r="H64" s="72">
        <f>H63+H26</f>
        <v>-765</v>
      </c>
      <c r="I64" s="171">
        <f>I63+I26</f>
        <v>-765</v>
      </c>
    </row>
    <row r="65" spans="2:8" ht="14.25">
      <c r="B65" s="13"/>
      <c r="C65" s="13"/>
      <c r="D65" s="13"/>
      <c r="E65" s="13"/>
      <c r="F65" s="13"/>
      <c r="G65" s="13"/>
      <c r="H65" s="13"/>
    </row>
    <row r="66" spans="2:8" ht="14.25">
      <c r="B66" s="13"/>
      <c r="C66" s="13"/>
      <c r="D66" s="13"/>
      <c r="E66" s="13"/>
      <c r="F66" s="13"/>
      <c r="G66" s="13"/>
      <c r="H66" s="13"/>
    </row>
    <row r="67" spans="1:8" ht="14.25">
      <c r="A67"/>
      <c r="B67"/>
      <c r="C67"/>
      <c r="D67"/>
      <c r="E67"/>
      <c r="F67"/>
      <c r="G67"/>
      <c r="H67"/>
    </row>
    <row r="68" spans="1:8" ht="18">
      <c r="A68" s="310" t="s">
        <v>41</v>
      </c>
      <c r="B68" s="310"/>
      <c r="C68" s="310"/>
      <c r="D68" s="310"/>
      <c r="E68" s="310"/>
      <c r="F68" s="310"/>
      <c r="G68" s="310"/>
      <c r="H68" s="310"/>
    </row>
    <row r="69" spans="1:8" ht="14.25">
      <c r="A69"/>
      <c r="B69"/>
      <c r="C69"/>
      <c r="D69"/>
      <c r="E69"/>
      <c r="F69"/>
      <c r="G69"/>
      <c r="H69"/>
    </row>
    <row r="70" spans="1:8" ht="18">
      <c r="A70" s="310" t="s">
        <v>34</v>
      </c>
      <c r="B70" s="310"/>
      <c r="C70" s="310"/>
      <c r="D70" s="310"/>
      <c r="E70" s="310"/>
      <c r="F70" s="310"/>
      <c r="G70" s="310"/>
      <c r="H70" s="310"/>
    </row>
    <row r="71" ht="15" thickBot="1"/>
    <row r="72" spans="2:9" ht="14.25">
      <c r="B72" s="48"/>
      <c r="C72" s="107" t="s">
        <v>0</v>
      </c>
      <c r="D72" s="49" t="s">
        <v>0</v>
      </c>
      <c r="E72" s="108" t="s">
        <v>0</v>
      </c>
      <c r="F72" s="142"/>
      <c r="G72" s="107" t="s">
        <v>1</v>
      </c>
      <c r="H72" s="73" t="s">
        <v>1</v>
      </c>
      <c r="I72" s="108" t="s">
        <v>1</v>
      </c>
    </row>
    <row r="73" spans="2:9" ht="14.25">
      <c r="B73" s="51" t="s">
        <v>3</v>
      </c>
      <c r="C73" s="109" t="s">
        <v>105</v>
      </c>
      <c r="D73" s="4" t="s">
        <v>42</v>
      </c>
      <c r="E73" s="52" t="s">
        <v>4</v>
      </c>
      <c r="F73" s="143"/>
      <c r="G73" s="109" t="s">
        <v>107</v>
      </c>
      <c r="H73" s="3" t="s">
        <v>42</v>
      </c>
      <c r="I73" s="52" t="s">
        <v>4</v>
      </c>
    </row>
    <row r="74" spans="2:9" ht="14.25">
      <c r="B74" s="51"/>
      <c r="C74" s="109" t="s">
        <v>4</v>
      </c>
      <c r="D74" s="4" t="s">
        <v>4</v>
      </c>
      <c r="E74" s="52" t="s">
        <v>106</v>
      </c>
      <c r="F74" s="143"/>
      <c r="G74" s="109" t="s">
        <v>108</v>
      </c>
      <c r="H74" s="3" t="s">
        <v>4</v>
      </c>
      <c r="I74" s="52" t="s">
        <v>106</v>
      </c>
    </row>
    <row r="75" spans="2:9" ht="14.25">
      <c r="B75" s="54"/>
      <c r="C75" s="110" t="s">
        <v>5</v>
      </c>
      <c r="D75" s="5" t="s">
        <v>5</v>
      </c>
      <c r="E75" s="111" t="s">
        <v>5</v>
      </c>
      <c r="F75" s="144"/>
      <c r="G75" s="110"/>
      <c r="H75" s="5" t="s">
        <v>5</v>
      </c>
      <c r="I75" s="176"/>
    </row>
    <row r="76" spans="2:9" ht="14.25">
      <c r="B76" s="56" t="s">
        <v>39</v>
      </c>
      <c r="C76" s="40"/>
      <c r="D76" s="40"/>
      <c r="E76" s="40"/>
      <c r="F76" s="145"/>
      <c r="G76" s="152"/>
      <c r="H76" s="19"/>
      <c r="I76" s="83"/>
    </row>
    <row r="77" spans="2:9" ht="14.25">
      <c r="B77" s="56" t="s">
        <v>30</v>
      </c>
      <c r="C77" s="40"/>
      <c r="D77" s="40"/>
      <c r="E77" s="40"/>
      <c r="F77" s="145"/>
      <c r="G77" s="152"/>
      <c r="H77" s="7"/>
      <c r="I77" s="83"/>
    </row>
    <row r="78" spans="2:9" ht="14.25">
      <c r="B78" s="58" t="s">
        <v>47</v>
      </c>
      <c r="C78" s="7">
        <v>-5264</v>
      </c>
      <c r="D78" s="7">
        <v>-5264</v>
      </c>
      <c r="E78" s="114">
        <f>D78-C78</f>
        <v>0</v>
      </c>
      <c r="F78" s="146"/>
      <c r="G78" s="7">
        <v>-5264</v>
      </c>
      <c r="H78" s="7">
        <v>-6224</v>
      </c>
      <c r="I78" s="114">
        <f>H78-G78</f>
        <v>-960</v>
      </c>
    </row>
    <row r="79" spans="2:9" ht="14.25">
      <c r="B79" s="58" t="s">
        <v>50</v>
      </c>
      <c r="C79" s="7">
        <v>-22500</v>
      </c>
      <c r="D79" s="7">
        <v>-22500</v>
      </c>
      <c r="E79" s="114">
        <f>D79-C79</f>
        <v>0</v>
      </c>
      <c r="F79" s="146"/>
      <c r="G79" s="7">
        <v>-11500</v>
      </c>
      <c r="H79" s="7">
        <v>-11250</v>
      </c>
      <c r="I79" s="114">
        <f>H79-G79</f>
        <v>250</v>
      </c>
    </row>
    <row r="80" spans="2:9" ht="14.25">
      <c r="B80" s="58" t="s">
        <v>51</v>
      </c>
      <c r="C80" s="7">
        <v>0</v>
      </c>
      <c r="D80" s="7">
        <v>0</v>
      </c>
      <c r="E80" s="114">
        <f>D80-C80</f>
        <v>0</v>
      </c>
      <c r="F80" s="146"/>
      <c r="G80" s="7">
        <v>0</v>
      </c>
      <c r="H80" s="7">
        <v>-8997</v>
      </c>
      <c r="I80" s="114">
        <f>H80-G80</f>
        <v>-8997</v>
      </c>
    </row>
    <row r="81" spans="2:9" ht="14.25">
      <c r="B81" s="58" t="s">
        <v>54</v>
      </c>
      <c r="C81" s="7">
        <v>0</v>
      </c>
      <c r="D81" s="7">
        <v>0</v>
      </c>
      <c r="E81" s="114">
        <f>D81-C81</f>
        <v>0</v>
      </c>
      <c r="F81" s="146"/>
      <c r="G81" s="115">
        <v>0</v>
      </c>
      <c r="H81" s="7">
        <v>-14000</v>
      </c>
      <c r="I81" s="114">
        <f>H81-G81</f>
        <v>-14000</v>
      </c>
    </row>
    <row r="82" spans="2:9" ht="14.25">
      <c r="B82" s="56" t="s">
        <v>31</v>
      </c>
      <c r="C82" s="7">
        <v>0</v>
      </c>
      <c r="D82" s="7">
        <v>0</v>
      </c>
      <c r="E82" s="114">
        <f>D82-C82</f>
        <v>0</v>
      </c>
      <c r="F82" s="146"/>
      <c r="G82" s="115">
        <v>0</v>
      </c>
      <c r="H82" s="7">
        <v>0</v>
      </c>
      <c r="I82" s="114">
        <f>H82-G82</f>
        <v>0</v>
      </c>
    </row>
    <row r="83" spans="2:9" ht="14.25">
      <c r="B83" s="68" t="s">
        <v>9</v>
      </c>
      <c r="C83" s="28">
        <f>SUM(C78:C82)</f>
        <v>-27764</v>
      </c>
      <c r="D83" s="28">
        <f>SUM(D78:D82)</f>
        <v>-27764</v>
      </c>
      <c r="E83" s="28">
        <f>SUM(E78:E82)</f>
        <v>0</v>
      </c>
      <c r="F83" s="173"/>
      <c r="G83" s="175">
        <f>SUM(G78:G82)</f>
        <v>-16764</v>
      </c>
      <c r="H83" s="28">
        <f>SUM(H78:H82)</f>
        <v>-40471</v>
      </c>
      <c r="I83" s="80">
        <f>SUM(I78:I82)</f>
        <v>-23707</v>
      </c>
    </row>
    <row r="84" spans="2:9" ht="14.25">
      <c r="B84" s="56" t="s">
        <v>10</v>
      </c>
      <c r="C84" s="40"/>
      <c r="D84" s="40"/>
      <c r="E84" s="40"/>
      <c r="F84" s="145"/>
      <c r="G84" s="152"/>
      <c r="H84" s="7"/>
      <c r="I84" s="83"/>
    </row>
    <row r="85" spans="2:9" ht="14.25">
      <c r="B85" s="60" t="s">
        <v>34</v>
      </c>
      <c r="C85" s="41"/>
      <c r="D85" s="41"/>
      <c r="E85" s="41"/>
      <c r="F85" s="148"/>
      <c r="G85" s="64"/>
      <c r="H85" s="7"/>
      <c r="I85" s="83"/>
    </row>
    <row r="86" spans="2:9" ht="14.25">
      <c r="B86" s="81" t="s">
        <v>18</v>
      </c>
      <c r="C86" s="43">
        <v>27764</v>
      </c>
      <c r="D86" s="43">
        <v>27764</v>
      </c>
      <c r="E86" s="114">
        <f>D86-C86</f>
        <v>0</v>
      </c>
      <c r="F86" s="174"/>
      <c r="G86" s="7">
        <f>5264+11500</f>
        <v>16764</v>
      </c>
      <c r="H86" s="7">
        <f>26471+14000</f>
        <v>40471</v>
      </c>
      <c r="I86" s="114">
        <f>H86-G86</f>
        <v>23707</v>
      </c>
    </row>
    <row r="87" spans="2:9" ht="14.25">
      <c r="B87" s="81" t="s">
        <v>53</v>
      </c>
      <c r="C87" s="43">
        <v>0</v>
      </c>
      <c r="D87" s="43">
        <v>0</v>
      </c>
      <c r="E87" s="114">
        <f>D87-C87</f>
        <v>0</v>
      </c>
      <c r="F87" s="174"/>
      <c r="G87" s="61"/>
      <c r="H87" s="7">
        <v>0</v>
      </c>
      <c r="I87" s="114">
        <f>H87-G87</f>
        <v>0</v>
      </c>
    </row>
    <row r="88" spans="2:9" ht="14.25">
      <c r="B88" s="68" t="s">
        <v>40</v>
      </c>
      <c r="C88" s="16">
        <f>SUM(C86:C87)</f>
        <v>27764</v>
      </c>
      <c r="D88" s="16">
        <f>SUM(D86:D87)</f>
        <v>27764</v>
      </c>
      <c r="E88" s="16">
        <f>SUM(E86:E87)</f>
        <v>0</v>
      </c>
      <c r="F88" s="149"/>
      <c r="G88" s="66">
        <f>SUM(G86:G87)</f>
        <v>16764</v>
      </c>
      <c r="H88" s="16">
        <f>SUM(H86:H87)</f>
        <v>40471</v>
      </c>
      <c r="I88" s="65">
        <f>SUM(I86:I87)</f>
        <v>23707</v>
      </c>
    </row>
    <row r="89" spans="2:9" ht="15" thickBot="1">
      <c r="B89" s="70" t="s">
        <v>27</v>
      </c>
      <c r="C89" s="71">
        <f>C88+C83</f>
        <v>0</v>
      </c>
      <c r="D89" s="71">
        <f>D88+D83</f>
        <v>0</v>
      </c>
      <c r="E89" s="71">
        <f>E88+E83</f>
        <v>0</v>
      </c>
      <c r="F89" s="172"/>
      <c r="G89" s="70">
        <f>G88+G83</f>
        <v>0</v>
      </c>
      <c r="H89" s="71">
        <f>H88+H83</f>
        <v>0</v>
      </c>
      <c r="I89" s="171">
        <f>I88+I83</f>
        <v>0</v>
      </c>
    </row>
    <row r="91" spans="2:8" ht="14.25" customHeight="1">
      <c r="B91" s="12"/>
      <c r="C91" s="12"/>
      <c r="D91" s="12"/>
      <c r="E91" s="12"/>
      <c r="F91" s="12"/>
      <c r="G91" s="12"/>
      <c r="H91" s="13"/>
    </row>
    <row r="92" spans="1:8" ht="29.25" customHeight="1">
      <c r="A92" s="30"/>
      <c r="B92" s="309"/>
      <c r="C92" s="309"/>
      <c r="D92" s="309"/>
      <c r="E92" s="309"/>
      <c r="F92" s="309"/>
      <c r="G92" s="309"/>
      <c r="H92" s="309"/>
    </row>
    <row r="93" spans="2:8" ht="14.25">
      <c r="B93" s="12"/>
      <c r="C93" s="12"/>
      <c r="D93" s="12"/>
      <c r="E93" s="12"/>
      <c r="F93" s="12"/>
      <c r="G93" s="12"/>
      <c r="H93" s="13"/>
    </row>
    <row r="94" spans="2:8" ht="14.25">
      <c r="B94" s="12"/>
      <c r="C94" s="12"/>
      <c r="D94" s="12"/>
      <c r="E94" s="12"/>
      <c r="F94" s="12"/>
      <c r="G94" s="12"/>
      <c r="H94" s="13"/>
    </row>
    <row r="95" spans="1:8" ht="14.25" customHeight="1">
      <c r="A95" s="32"/>
      <c r="B95" s="33"/>
      <c r="C95" s="33"/>
      <c r="D95" s="33"/>
      <c r="E95" s="33"/>
      <c r="F95" s="33"/>
      <c r="G95" s="33"/>
      <c r="H95" s="33"/>
    </row>
    <row r="96" ht="30" customHeight="1">
      <c r="H96" s="1"/>
    </row>
    <row r="97" spans="8:10" ht="14.25">
      <c r="H97" s="1"/>
      <c r="I97"/>
      <c r="J97"/>
    </row>
    <row r="98" spans="8:10" ht="14.25">
      <c r="H98" s="1"/>
      <c r="I98" s="34"/>
      <c r="J98"/>
    </row>
    <row r="99" spans="8:10" ht="14.25">
      <c r="H99" s="1"/>
      <c r="I99" s="35"/>
      <c r="J99"/>
    </row>
    <row r="100" spans="8:10" ht="14.25">
      <c r="H100" s="1"/>
      <c r="I100" s="20"/>
      <c r="J100"/>
    </row>
    <row r="101" spans="8:10" ht="14.25">
      <c r="H101" s="1"/>
      <c r="I101" s="20"/>
      <c r="J101"/>
    </row>
    <row r="102" spans="8:10" ht="14.25">
      <c r="H102" s="1"/>
      <c r="I102" s="20"/>
      <c r="J102"/>
    </row>
    <row r="103" spans="8:10" ht="14.25">
      <c r="H103" s="1"/>
      <c r="I103" s="20"/>
      <c r="J103"/>
    </row>
    <row r="104" spans="8:10" ht="14.25">
      <c r="H104" s="1"/>
      <c r="I104" s="36"/>
      <c r="J104"/>
    </row>
    <row r="105" spans="8:10" ht="14.25">
      <c r="H105" s="1"/>
      <c r="I105" s="36"/>
      <c r="J105"/>
    </row>
    <row r="106" spans="8:10" ht="14.25">
      <c r="H106" s="1"/>
      <c r="I106" s="36"/>
      <c r="J106"/>
    </row>
    <row r="107" spans="8:10" ht="14.25">
      <c r="H107" s="1"/>
      <c r="I107" s="36"/>
      <c r="J107"/>
    </row>
    <row r="108" spans="8:10" ht="14.25">
      <c r="H108" s="1"/>
      <c r="I108" s="36"/>
      <c r="J108"/>
    </row>
    <row r="109" spans="8:10" ht="14.25">
      <c r="H109" s="1"/>
      <c r="I109" s="36"/>
      <c r="J109"/>
    </row>
    <row r="110" spans="8:10" ht="14.25">
      <c r="H110" s="1"/>
      <c r="I110" s="36"/>
      <c r="J110"/>
    </row>
    <row r="111" spans="8:10" ht="14.25">
      <c r="H111" s="1"/>
      <c r="I111" s="36"/>
      <c r="J111"/>
    </row>
    <row r="112" spans="8:10" ht="14.25">
      <c r="H112" s="1"/>
      <c r="I112" s="36"/>
      <c r="J112"/>
    </row>
    <row r="113" spans="8:10" ht="14.25">
      <c r="H113" s="1"/>
      <c r="I113" s="36"/>
      <c r="J113"/>
    </row>
    <row r="114" spans="8:10" ht="14.25">
      <c r="H114" s="1"/>
      <c r="I114" s="36"/>
      <c r="J114"/>
    </row>
    <row r="115" spans="8:10" ht="14.25">
      <c r="H115" s="1"/>
      <c r="I115" s="36"/>
      <c r="J115"/>
    </row>
    <row r="116" spans="8:10" ht="14.25">
      <c r="H116" s="1"/>
      <c r="I116" s="37"/>
      <c r="J116"/>
    </row>
    <row r="117" spans="8:10" ht="14.25">
      <c r="H117" s="1"/>
      <c r="I117" s="20"/>
      <c r="J117"/>
    </row>
    <row r="118" spans="8:10" ht="14.25">
      <c r="H118" s="1"/>
      <c r="I118" s="20"/>
      <c r="J118"/>
    </row>
    <row r="119" spans="8:10" ht="14.25">
      <c r="H119" s="1"/>
      <c r="I119" s="34"/>
      <c r="J119"/>
    </row>
    <row r="120" spans="8:10" ht="14.25">
      <c r="H120" s="1"/>
      <c r="I120" s="35"/>
      <c r="J120"/>
    </row>
    <row r="121" spans="8:10" ht="14.25">
      <c r="H121" s="1"/>
      <c r="I121" s="20"/>
      <c r="J121"/>
    </row>
    <row r="122" spans="8:10" ht="14.25">
      <c r="H122" s="1"/>
      <c r="I122" s="20"/>
      <c r="J122"/>
    </row>
    <row r="123" spans="8:10" ht="14.25">
      <c r="H123" s="1"/>
      <c r="I123" s="20"/>
      <c r="J123"/>
    </row>
    <row r="124" spans="8:10" ht="14.25">
      <c r="H124" s="1"/>
      <c r="I124" s="20"/>
      <c r="J124"/>
    </row>
    <row r="125" spans="8:10" ht="14.25">
      <c r="H125" s="1"/>
      <c r="I125" s="36"/>
      <c r="J125"/>
    </row>
    <row r="126" spans="8:10" ht="14.25">
      <c r="H126" s="1"/>
      <c r="I126" s="38"/>
      <c r="J126"/>
    </row>
    <row r="127" spans="8:10" ht="14.25">
      <c r="H127" s="1"/>
      <c r="I127" s="38"/>
      <c r="J127"/>
    </row>
    <row r="128" spans="8:10" ht="14.25">
      <c r="H128" s="1"/>
      <c r="I128" s="36"/>
      <c r="J128"/>
    </row>
    <row r="129" spans="8:10" ht="14.25">
      <c r="H129" s="1"/>
      <c r="I129" s="38"/>
      <c r="J129"/>
    </row>
    <row r="130" spans="8:10" ht="14.25">
      <c r="H130" s="1"/>
      <c r="I130" s="38"/>
      <c r="J130"/>
    </row>
    <row r="131" spans="8:10" ht="14.25">
      <c r="H131" s="1"/>
      <c r="I131" s="36"/>
      <c r="J131"/>
    </row>
    <row r="132" spans="8:10" ht="14.25">
      <c r="H132" s="1"/>
      <c r="I132" s="38"/>
      <c r="J132"/>
    </row>
    <row r="133" spans="8:10" ht="14.25">
      <c r="H133" s="1"/>
      <c r="I133" s="37"/>
      <c r="J133"/>
    </row>
    <row r="134" spans="8:10" ht="14.25">
      <c r="H134" s="1"/>
      <c r="I134"/>
      <c r="J134"/>
    </row>
    <row r="135" spans="8:10" ht="14.25">
      <c r="H135" s="1"/>
      <c r="I135"/>
      <c r="J135"/>
    </row>
    <row r="136" spans="8:10" ht="14.25">
      <c r="H136" s="1"/>
      <c r="I136"/>
      <c r="J136"/>
    </row>
    <row r="137" spans="8:10" ht="14.25">
      <c r="H137" s="1"/>
      <c r="I137"/>
      <c r="J137"/>
    </row>
    <row r="138" spans="8:10" ht="14.25">
      <c r="H138" s="1"/>
      <c r="I138"/>
      <c r="J138"/>
    </row>
    <row r="139" spans="8:10" ht="14.25">
      <c r="H139" s="1"/>
      <c r="I139"/>
      <c r="J139"/>
    </row>
    <row r="140" spans="8:10" ht="14.25">
      <c r="H140" s="1"/>
      <c r="I140"/>
      <c r="J140"/>
    </row>
    <row r="141" spans="8:10" ht="14.25">
      <c r="H141" s="1"/>
      <c r="I141"/>
      <c r="J141"/>
    </row>
    <row r="142" spans="8:10" ht="14.25">
      <c r="H142" s="1"/>
      <c r="I142"/>
      <c r="J142"/>
    </row>
    <row r="143" spans="8:10" ht="14.25">
      <c r="H143" s="1"/>
      <c r="I143"/>
      <c r="J143"/>
    </row>
    <row r="144" spans="8:10" ht="14.25">
      <c r="H144" s="1"/>
      <c r="I144"/>
      <c r="J144"/>
    </row>
    <row r="145" spans="8:10" ht="14.25">
      <c r="H145" s="1"/>
      <c r="I145"/>
      <c r="J145"/>
    </row>
    <row r="146" spans="8:10" ht="14.25">
      <c r="H146" s="1"/>
      <c r="I146"/>
      <c r="J146"/>
    </row>
    <row r="147" spans="8:10" ht="14.25">
      <c r="H147" s="1"/>
      <c r="I147"/>
      <c r="J147"/>
    </row>
    <row r="148" spans="8:10" ht="14.25">
      <c r="H148" s="1"/>
      <c r="I148"/>
      <c r="J148"/>
    </row>
    <row r="149" ht="14.25">
      <c r="H149" s="1"/>
    </row>
    <row r="150" ht="14.25">
      <c r="H150" s="1"/>
    </row>
    <row r="151" ht="14.25">
      <c r="H151" s="1"/>
    </row>
  </sheetData>
  <mergeCells count="5">
    <mergeCell ref="B92:H92"/>
    <mergeCell ref="A1:H1"/>
    <mergeCell ref="A3:H3"/>
    <mergeCell ref="A68:H68"/>
    <mergeCell ref="A70:H70"/>
  </mergeCells>
  <printOptions/>
  <pageMargins left="0.75" right="0.75" top="1" bottom="1" header="0.5" footer="0.5"/>
  <pageSetup horizontalDpi="600" verticalDpi="600" orientation="portrait" scale="60" r:id="rId1"/>
  <headerFooter alignWithMargins="0">
    <oddFooter>&amp;C&amp;8&amp;D&amp;T&amp;Z&amp;F</oddFooter>
  </headerFooter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44"/>
  <sheetViews>
    <sheetView view="pageBreakPreview" zoomScale="75" zoomScaleSheetLayoutView="75" workbookViewId="0" topLeftCell="A13">
      <selection activeCell="A110" sqref="A110"/>
    </sheetView>
  </sheetViews>
  <sheetFormatPr defaultColWidth="9.140625" defaultRowHeight="12.75"/>
  <cols>
    <col min="1" max="1" width="5.7109375" style="1" customWidth="1"/>
    <col min="2" max="2" width="50.7109375" style="1" customWidth="1"/>
    <col min="3" max="7" width="12.7109375" style="2" customWidth="1"/>
    <col min="8" max="11" width="12.7109375" style="1" customWidth="1"/>
    <col min="12" max="12" width="11.7109375" style="1" bestFit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4.25" customHeight="1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2" ht="18">
      <c r="A3" s="310" t="s">
        <v>33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</row>
    <row r="4" spans="1:10" ht="14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ht="15" thickBot="1"/>
    <row r="6" spans="2:12" ht="14.25">
      <c r="B6" s="126"/>
      <c r="C6" s="283" t="s">
        <v>2</v>
      </c>
      <c r="D6" s="283" t="s">
        <v>2</v>
      </c>
      <c r="E6" s="284" t="s">
        <v>2</v>
      </c>
      <c r="F6" s="284" t="s">
        <v>2</v>
      </c>
      <c r="G6" s="285" t="s">
        <v>2</v>
      </c>
      <c r="H6" s="283" t="s">
        <v>37</v>
      </c>
      <c r="I6" s="284" t="s">
        <v>37</v>
      </c>
      <c r="J6" s="285" t="s">
        <v>37</v>
      </c>
      <c r="K6" s="283" t="s">
        <v>63</v>
      </c>
      <c r="L6" s="285" t="s">
        <v>226</v>
      </c>
    </row>
    <row r="7" spans="2:12" ht="14.25">
      <c r="B7" s="127"/>
      <c r="C7" s="109" t="s">
        <v>288</v>
      </c>
      <c r="D7" s="109" t="s">
        <v>42</v>
      </c>
      <c r="E7" s="19" t="s">
        <v>289</v>
      </c>
      <c r="F7" s="4" t="s">
        <v>293</v>
      </c>
      <c r="G7" s="53" t="s">
        <v>281</v>
      </c>
      <c r="H7" s="109" t="s">
        <v>174</v>
      </c>
      <c r="I7" s="4" t="s">
        <v>293</v>
      </c>
      <c r="J7" s="53" t="s">
        <v>281</v>
      </c>
      <c r="K7" s="109" t="s">
        <v>174</v>
      </c>
      <c r="L7" s="53" t="s">
        <v>174</v>
      </c>
    </row>
    <row r="8" spans="2:12" ht="14.25">
      <c r="B8" s="127"/>
      <c r="C8" s="109" t="s">
        <v>174</v>
      </c>
      <c r="D8" s="109" t="s">
        <v>174</v>
      </c>
      <c r="E8" s="4" t="s">
        <v>282</v>
      </c>
      <c r="F8" s="4" t="s">
        <v>279</v>
      </c>
      <c r="G8" s="53" t="s">
        <v>292</v>
      </c>
      <c r="H8" s="109" t="s">
        <v>175</v>
      </c>
      <c r="I8" s="4" t="s">
        <v>279</v>
      </c>
      <c r="J8" s="53" t="s">
        <v>292</v>
      </c>
      <c r="K8" s="109" t="s">
        <v>175</v>
      </c>
      <c r="L8" s="53" t="s">
        <v>175</v>
      </c>
    </row>
    <row r="9" spans="2:12" ht="14.25">
      <c r="B9" s="127" t="s">
        <v>3</v>
      </c>
      <c r="C9" s="109" t="s">
        <v>175</v>
      </c>
      <c r="D9" s="109" t="s">
        <v>175</v>
      </c>
      <c r="E9" s="4" t="s">
        <v>175</v>
      </c>
      <c r="F9" s="4" t="s">
        <v>280</v>
      </c>
      <c r="G9" s="53" t="s">
        <v>282</v>
      </c>
      <c r="H9" s="109" t="s">
        <v>291</v>
      </c>
      <c r="I9" s="4" t="s">
        <v>280</v>
      </c>
      <c r="J9" s="53" t="s">
        <v>282</v>
      </c>
      <c r="K9" s="109"/>
      <c r="L9" s="53"/>
    </row>
    <row r="10" spans="2:12" ht="14.25">
      <c r="B10" s="128"/>
      <c r="C10" s="110" t="s">
        <v>5</v>
      </c>
      <c r="D10" s="110" t="s">
        <v>5</v>
      </c>
      <c r="E10" s="5" t="s">
        <v>5</v>
      </c>
      <c r="F10" s="5" t="s">
        <v>5</v>
      </c>
      <c r="G10" s="55" t="s">
        <v>5</v>
      </c>
      <c r="H10" s="110" t="s">
        <v>5</v>
      </c>
      <c r="I10" s="5" t="s">
        <v>5</v>
      </c>
      <c r="J10" s="55" t="s">
        <v>5</v>
      </c>
      <c r="K10" s="110" t="s">
        <v>5</v>
      </c>
      <c r="L10" s="55" t="s">
        <v>5</v>
      </c>
    </row>
    <row r="11" spans="2:12" ht="14.25">
      <c r="B11" s="129" t="s">
        <v>266</v>
      </c>
      <c r="C11" s="113"/>
      <c r="D11" s="7"/>
      <c r="E11" s="7"/>
      <c r="F11" s="7"/>
      <c r="G11" s="57"/>
      <c r="H11" s="278"/>
      <c r="I11" s="7"/>
      <c r="J11" s="57"/>
      <c r="K11" s="113"/>
      <c r="L11" s="57"/>
    </row>
    <row r="12" spans="2:12" ht="14.25">
      <c r="B12" s="129" t="s">
        <v>264</v>
      </c>
      <c r="C12" s="113"/>
      <c r="D12" s="7"/>
      <c r="E12" s="7"/>
      <c r="F12" s="7"/>
      <c r="G12" s="57"/>
      <c r="H12" s="113"/>
      <c r="I12" s="7"/>
      <c r="J12" s="57"/>
      <c r="K12" s="113"/>
      <c r="L12" s="57"/>
    </row>
    <row r="13" spans="2:12" ht="14.25">
      <c r="B13" s="130" t="s">
        <v>263</v>
      </c>
      <c r="C13" s="113">
        <f>Resources!C13</f>
        <v>-2520</v>
      </c>
      <c r="D13" s="6">
        <f>Resources!D13</f>
        <v>-3076</v>
      </c>
      <c r="E13" s="6">
        <f>Resources!E13</f>
        <v>-3076</v>
      </c>
      <c r="F13" s="6">
        <f>Resources!F13</f>
        <v>-3076</v>
      </c>
      <c r="G13" s="57">
        <f>Resources!G13</f>
        <v>0</v>
      </c>
      <c r="H13" s="113">
        <f>Resources!H13</f>
        <v>-2555</v>
      </c>
      <c r="I13" s="6">
        <f>Resources!I13</f>
        <v>-2555</v>
      </c>
      <c r="J13" s="57">
        <f>Resources!J13</f>
        <v>0</v>
      </c>
      <c r="K13" s="113">
        <f>Resources!K13</f>
        <v>-2600</v>
      </c>
      <c r="L13" s="57">
        <f>Resources!L13</f>
        <v>-2640</v>
      </c>
    </row>
    <row r="14" spans="2:12" ht="14.25">
      <c r="B14" s="130" t="s">
        <v>162</v>
      </c>
      <c r="C14" s="113">
        <f>Resources!C14</f>
        <v>-3290</v>
      </c>
      <c r="D14" s="6">
        <f>Resources!D14</f>
        <v>-5266</v>
      </c>
      <c r="E14" s="6">
        <f>Resources!E14</f>
        <v>-5266</v>
      </c>
      <c r="F14" s="6">
        <f>Resources!F14</f>
        <v>-5335</v>
      </c>
      <c r="G14" s="57">
        <f>Resources!G14</f>
        <v>-69</v>
      </c>
      <c r="H14" s="113">
        <f>Resources!H14</f>
        <v>-3458</v>
      </c>
      <c r="I14" s="6">
        <f>Resources!I14</f>
        <v>-3458</v>
      </c>
      <c r="J14" s="57">
        <f>Resources!J14</f>
        <v>0</v>
      </c>
      <c r="K14" s="113">
        <f>Resources!K14</f>
        <v>-3460</v>
      </c>
      <c r="L14" s="57">
        <f>Resources!L14</f>
        <v>-3460</v>
      </c>
    </row>
    <row r="15" spans="2:12" ht="14.25">
      <c r="B15" s="130" t="s">
        <v>249</v>
      </c>
      <c r="C15" s="113">
        <f>Resources!C16+Resources!C17+Resources!C19+Resources!C20+Resources!C21+Resources!C22+Resources!C24+Resources!C25+Resources!C27+Resources!C28+Resources!C38+Resources!C18+Resources!C15+Resources!C29</f>
        <v>-10361</v>
      </c>
      <c r="D15" s="6">
        <f>Resources!D16+Resources!D17+Resources!D19+Resources!D20+Resources!D21+Resources!D22+Resources!D24+Resources!D25+Resources!D27+Resources!D28+Resources!D38+Resources!D18+Resources!D15+Resources!D29</f>
        <v>-16560</v>
      </c>
      <c r="E15" s="6">
        <f>Resources!E16+Resources!E17+Resources!E19+Resources!E20+Resources!E21+Resources!E22+Resources!E24+Resources!E25+Resources!E27+Resources!E28+Resources!E38+Resources!E18+Resources!E15+Resources!E29</f>
        <v>-21075</v>
      </c>
      <c r="F15" s="6">
        <f>Resources!F16+Resources!F17+Resources!F19+Resources!F20+Resources!F21+Resources!F22+Resources!F24+Resources!F25+Resources!F27+Resources!F28+Resources!F38+Resources!F18+Resources!F15+Resources!F29</f>
        <v>-20935</v>
      </c>
      <c r="G15" s="7">
        <f>Resources!G16+Resources!G17+Resources!G19+Resources!G20+Resources!G21+Resources!G22+Resources!G24+Resources!G25+Resources!G27+Resources!G28+Resources!G38+Resources!G18+Resources!G15+Resources!G29</f>
        <v>140</v>
      </c>
      <c r="H15" s="113">
        <f>Resources!H16+Resources!H17+Resources!H19+Resources!H20+Resources!H21+Resources!H22+Resources!H24+Resources!H25+Resources!H27+Resources!H28+Resources!H38+Resources!H18+Resources!H15+Resources!H29</f>
        <v>-12760</v>
      </c>
      <c r="I15" s="6">
        <f>Resources!I16+Resources!I17+Resources!I19+Resources!I20+Resources!I21+Resources!I22+Resources!I24+Resources!I25+Resources!I27+Resources!I28+Resources!I38+Resources!I18+Resources!I15+Resources!I29</f>
        <v>-13635</v>
      </c>
      <c r="J15" s="57">
        <f>Resources!J16+Resources!J17+Resources!J19+Resources!J20+Resources!J21+Resources!J22+Resources!J24+Resources!J25+Resources!J27+Resources!J28+Resources!J38+Resources!J18+Resources!J15+Resources!J29</f>
        <v>-875</v>
      </c>
      <c r="K15" s="113">
        <f>Resources!K16+Resources!K17+Resources!K19+Resources!K20+Resources!K21+Resources!K22+Resources!K24+Resources!K25+Resources!K27+Resources!K28+Resources!K38+Resources!K18+Resources!K15+Resources!K29</f>
        <v>-7781</v>
      </c>
      <c r="L15" s="57">
        <f>Resources!L16+Resources!L17+Resources!L19+Resources!L20+Resources!L21+Resources!L22+Resources!L24+Resources!L25+Resources!L27+Resources!L28+Resources!L38+Resources!L18+Resources!L15+Resources!L29</f>
        <v>-6501</v>
      </c>
    </row>
    <row r="16" spans="2:12" ht="14.25">
      <c r="B16" s="131" t="s">
        <v>137</v>
      </c>
      <c r="C16" s="113">
        <f>Resources!C30</f>
        <v>-1750</v>
      </c>
      <c r="D16" s="6">
        <f>Resources!D30</f>
        <v>-1750</v>
      </c>
      <c r="E16" s="6">
        <f>Resources!E30</f>
        <v>-1750</v>
      </c>
      <c r="F16" s="6">
        <f>Resources!F30</f>
        <v>-1750</v>
      </c>
      <c r="G16" s="57">
        <f>Resources!G30</f>
        <v>0</v>
      </c>
      <c r="H16" s="113">
        <f>Resources!H30</f>
        <v>-1750</v>
      </c>
      <c r="I16" s="6">
        <f>Resources!I30</f>
        <v>-1750</v>
      </c>
      <c r="J16" s="57">
        <f>Resources!J30</f>
        <v>0</v>
      </c>
      <c r="K16" s="113">
        <f>Resources!K30</f>
        <v>-1750</v>
      </c>
      <c r="L16" s="57">
        <f>Resources!L30</f>
        <v>-1750</v>
      </c>
    </row>
    <row r="17" spans="2:12" ht="14.25">
      <c r="B17" s="131" t="s">
        <v>139</v>
      </c>
      <c r="C17" s="113">
        <f>Resources!C32</f>
        <v>-3000</v>
      </c>
      <c r="D17" s="6">
        <f>Resources!D32</f>
        <v>-4071</v>
      </c>
      <c r="E17" s="6">
        <f>Resources!E32</f>
        <v>-4071</v>
      </c>
      <c r="F17" s="6">
        <f>Resources!F32</f>
        <v>-4071</v>
      </c>
      <c r="G17" s="57">
        <f>Resources!G32</f>
        <v>0</v>
      </c>
      <c r="H17" s="113">
        <f>Resources!H32</f>
        <v>-2000</v>
      </c>
      <c r="I17" s="6">
        <f>Resources!I32</f>
        <v>-2000</v>
      </c>
      <c r="J17" s="57">
        <f>Resources!J32</f>
        <v>0</v>
      </c>
      <c r="K17" s="113">
        <f>Resources!K32</f>
        <v>-2000</v>
      </c>
      <c r="L17" s="57">
        <f>Resources!L32</f>
        <v>-2000</v>
      </c>
    </row>
    <row r="18" spans="2:12" ht="14.25">
      <c r="B18" s="131" t="s">
        <v>261</v>
      </c>
      <c r="C18" s="113">
        <f>Resources!C31+Resources!C33+Resources!C34</f>
        <v>-495</v>
      </c>
      <c r="D18" s="6">
        <f>Resources!D31+Resources!D33+Resources!D34</f>
        <v>-695</v>
      </c>
      <c r="E18" s="6">
        <f>Resources!E31+Resources!E33+Resources!E34</f>
        <v>-695</v>
      </c>
      <c r="F18" s="6">
        <f>Resources!F31+Resources!F33+Resources!F34</f>
        <v>-695</v>
      </c>
      <c r="G18" s="57">
        <f>Resources!G31+Resources!G33+Resources!G34</f>
        <v>0</v>
      </c>
      <c r="H18" s="113">
        <f>Resources!H31+Resources!H33+Resources!H34</f>
        <v>-200</v>
      </c>
      <c r="I18" s="6">
        <f>Resources!I31+Resources!I33+Resources!I34</f>
        <v>-200</v>
      </c>
      <c r="J18" s="57">
        <f>Resources!J31+Resources!J33+Resources!J34</f>
        <v>0</v>
      </c>
      <c r="K18" s="113">
        <f>Resources!K31+Resources!K33+Resources!K34</f>
        <v>-200</v>
      </c>
      <c r="L18" s="57">
        <f>Resources!L31+Resources!L33+Resources!L34</f>
        <v>-200</v>
      </c>
    </row>
    <row r="19" spans="2:12" ht="14.25">
      <c r="B19" s="130" t="s">
        <v>7</v>
      </c>
      <c r="C19" s="113">
        <f>Resources!C35+Resources!C39</f>
        <v>0</v>
      </c>
      <c r="D19" s="6">
        <f>Resources!D35+Resources!D39</f>
        <v>-2105</v>
      </c>
      <c r="E19" s="6">
        <f>Resources!E35+Resources!E39</f>
        <v>-2105</v>
      </c>
      <c r="F19" s="6">
        <f>Resources!F35+Resources!F39</f>
        <v>-2105</v>
      </c>
      <c r="G19" s="57">
        <f>Resources!G35+Resources!G39</f>
        <v>0</v>
      </c>
      <c r="H19" s="113">
        <f>Resources!H35+Resources!H39</f>
        <v>0</v>
      </c>
      <c r="I19" s="6">
        <f>Resources!I35+Resources!I39</f>
        <v>0</v>
      </c>
      <c r="J19" s="57">
        <f>Resources!J35+Resources!J39</f>
        <v>0</v>
      </c>
      <c r="K19" s="113">
        <f>Resources!K35+Resources!K39</f>
        <v>0</v>
      </c>
      <c r="L19" s="57">
        <f>Resources!L35+Resources!L39</f>
        <v>0</v>
      </c>
    </row>
    <row r="20" spans="2:12" ht="14.25">
      <c r="B20" s="130" t="s">
        <v>60</v>
      </c>
      <c r="C20" s="113">
        <f>Resources!C36+Resources!C37</f>
        <v>-1688</v>
      </c>
      <c r="D20" s="6">
        <f>Resources!D36+Resources!D37</f>
        <v>-5199</v>
      </c>
      <c r="E20" s="6">
        <f>Resources!E36+Resources!E37</f>
        <v>-5199</v>
      </c>
      <c r="F20" s="6">
        <f>Resources!F36+Resources!F37</f>
        <v>-2788</v>
      </c>
      <c r="G20" s="6">
        <f>Resources!G36+Resources!G37</f>
        <v>2411</v>
      </c>
      <c r="H20" s="113">
        <f>Resources!H36+Resources!H37</f>
        <v>-1888</v>
      </c>
      <c r="I20" s="6">
        <f>Resources!I36+Resources!I37</f>
        <v>-2434</v>
      </c>
      <c r="J20" s="114">
        <f>Resources!J36+Resources!J37</f>
        <v>-546</v>
      </c>
      <c r="K20" s="113">
        <f>Resources!K36+Resources!K37</f>
        <v>-1635</v>
      </c>
      <c r="L20" s="114">
        <f>Resources!L36+Resources!L37</f>
        <v>0</v>
      </c>
    </row>
    <row r="21" spans="2:12" ht="14.25">
      <c r="B21" s="129" t="s">
        <v>271</v>
      </c>
      <c r="C21" s="113"/>
      <c r="D21" s="6"/>
      <c r="E21" s="6"/>
      <c r="F21" s="6"/>
      <c r="G21" s="57"/>
      <c r="H21" s="113"/>
      <c r="I21" s="6"/>
      <c r="J21" s="57"/>
      <c r="K21" s="113"/>
      <c r="L21" s="57"/>
    </row>
    <row r="22" spans="2:15" ht="14.25">
      <c r="B22" s="130" t="s">
        <v>272</v>
      </c>
      <c r="C22" s="113">
        <f>Resources!C12</f>
        <v>-7866</v>
      </c>
      <c r="D22" s="6">
        <f>Resources!D12</f>
        <v>-7866</v>
      </c>
      <c r="E22" s="6">
        <f>Resources!E12</f>
        <v>-7866</v>
      </c>
      <c r="F22" s="6">
        <f>Resources!F12</f>
        <v>-7866</v>
      </c>
      <c r="G22" s="57">
        <f>Resources!G12</f>
        <v>0</v>
      </c>
      <c r="H22" s="113">
        <f>Resources!H12</f>
        <v>-8125</v>
      </c>
      <c r="I22" s="6">
        <f>Resources!I12</f>
        <v>-8125</v>
      </c>
      <c r="J22" s="57">
        <f>Resources!J12</f>
        <v>0</v>
      </c>
      <c r="K22" s="113">
        <f>Resources!K12</f>
        <v>-8410</v>
      </c>
      <c r="L22" s="57">
        <f>Resources!L12</f>
        <v>-8700</v>
      </c>
      <c r="O22" s="288"/>
    </row>
    <row r="23" spans="2:12" ht="14.25">
      <c r="B23" s="130" t="s">
        <v>262</v>
      </c>
      <c r="C23" s="113">
        <f>Resources!C41</f>
        <v>-12317</v>
      </c>
      <c r="D23" s="6">
        <f>Resources!D41</f>
        <v>-12257</v>
      </c>
      <c r="E23" s="6">
        <f>Resources!E41</f>
        <v>-12257</v>
      </c>
      <c r="F23" s="6">
        <f>Resources!F41</f>
        <v>-9579</v>
      </c>
      <c r="G23" s="57">
        <f>Resources!G41</f>
        <v>2678</v>
      </c>
      <c r="H23" s="113">
        <f>Resources!H41</f>
        <v>-12312</v>
      </c>
      <c r="I23" s="6">
        <f>Resources!I41</f>
        <v>-14915</v>
      </c>
      <c r="J23" s="57">
        <f>Resources!J41</f>
        <v>-2603</v>
      </c>
      <c r="K23" s="113">
        <f>Resources!K41</f>
        <v>-7257</v>
      </c>
      <c r="L23" s="57">
        <f>Resources!L41</f>
        <v>-8369</v>
      </c>
    </row>
    <row r="24" spans="2:12" ht="14.25">
      <c r="B24" s="248" t="s">
        <v>58</v>
      </c>
      <c r="C24" s="222">
        <f>Resources!C42</f>
        <v>0</v>
      </c>
      <c r="D24" s="204">
        <f>Resources!D42</f>
        <v>-150</v>
      </c>
      <c r="E24" s="204">
        <f>Resources!E42</f>
        <v>-150</v>
      </c>
      <c r="F24" s="204">
        <f>Resources!F42</f>
        <v>-150</v>
      </c>
      <c r="G24" s="216">
        <f>Resources!G42</f>
        <v>0</v>
      </c>
      <c r="H24" s="222">
        <f>Resources!H42</f>
        <v>0</v>
      </c>
      <c r="I24" s="204">
        <f>Resources!I42</f>
        <v>0</v>
      </c>
      <c r="J24" s="216">
        <f>Resources!J42</f>
        <v>0</v>
      </c>
      <c r="K24" s="222">
        <f>Resources!K42</f>
        <v>0</v>
      </c>
      <c r="L24" s="216">
        <f>Resources!L42</f>
        <v>0</v>
      </c>
    </row>
    <row r="25" spans="2:12" ht="14.25">
      <c r="B25" s="133" t="s">
        <v>9</v>
      </c>
      <c r="C25" s="118">
        <f aca="true" t="shared" si="0" ref="C25:L25">SUM(C13:C24)</f>
        <v>-43287</v>
      </c>
      <c r="D25" s="22">
        <f t="shared" si="0"/>
        <v>-58995</v>
      </c>
      <c r="E25" s="22">
        <f t="shared" si="0"/>
        <v>-63510</v>
      </c>
      <c r="F25" s="22">
        <f t="shared" si="0"/>
        <v>-58350</v>
      </c>
      <c r="G25" s="242">
        <f t="shared" si="0"/>
        <v>5160</v>
      </c>
      <c r="H25" s="118">
        <f t="shared" si="0"/>
        <v>-45048</v>
      </c>
      <c r="I25" s="22">
        <f t="shared" si="0"/>
        <v>-49072</v>
      </c>
      <c r="J25" s="242">
        <f t="shared" si="0"/>
        <v>-4024</v>
      </c>
      <c r="K25" s="175">
        <f t="shared" si="0"/>
        <v>-35093</v>
      </c>
      <c r="L25" s="80">
        <f t="shared" si="0"/>
        <v>-33620</v>
      </c>
    </row>
    <row r="26" spans="2:12" ht="14.25">
      <c r="B26" s="129" t="s">
        <v>267</v>
      </c>
      <c r="C26" s="113"/>
      <c r="D26" s="6"/>
      <c r="E26" s="6"/>
      <c r="F26" s="6"/>
      <c r="G26" s="57"/>
      <c r="H26" s="113"/>
      <c r="I26" s="7"/>
      <c r="J26" s="57"/>
      <c r="K26" s="113"/>
      <c r="L26" s="57"/>
    </row>
    <row r="27" spans="2:12" ht="14.25">
      <c r="B27" s="134" t="s">
        <v>207</v>
      </c>
      <c r="C27" s="113"/>
      <c r="D27" s="6"/>
      <c r="E27" s="6"/>
      <c r="F27" s="6"/>
      <c r="G27" s="57"/>
      <c r="H27" s="113"/>
      <c r="I27" s="7"/>
      <c r="J27" s="57"/>
      <c r="K27" s="113"/>
      <c r="L27" s="57"/>
    </row>
    <row r="28" spans="2:12" ht="14.25">
      <c r="B28" s="135" t="s">
        <v>251</v>
      </c>
      <c r="C28" s="61">
        <f>'Children &amp; Families'!C68</f>
        <v>14927</v>
      </c>
      <c r="D28" s="24">
        <f>'Children &amp; Families'!D68</f>
        <v>15048</v>
      </c>
      <c r="E28" s="24">
        <f>'Children &amp; Families'!E68</f>
        <v>18468</v>
      </c>
      <c r="F28" s="24">
        <f>'Children &amp; Families'!F68</f>
        <v>14767</v>
      </c>
      <c r="G28" s="244">
        <f>'Children &amp; Families'!G68</f>
        <v>-3701</v>
      </c>
      <c r="H28" s="61">
        <f>'Children &amp; Families'!H68</f>
        <v>17018</v>
      </c>
      <c r="I28" s="24">
        <f>'Children &amp; Families'!I68</f>
        <v>21117</v>
      </c>
      <c r="J28" s="244">
        <f>'Children &amp; Families'!J68</f>
        <v>4099</v>
      </c>
      <c r="K28" s="61">
        <f>'Children &amp; Families'!K68</f>
        <v>11003</v>
      </c>
      <c r="L28" s="244">
        <f>'Children &amp; Families'!L68</f>
        <v>9630</v>
      </c>
    </row>
    <row r="29" spans="2:12" ht="14.25">
      <c r="B29" s="135" t="s">
        <v>252</v>
      </c>
      <c r="C29" s="61">
        <f>'Children &amp; Families'!C73</f>
        <v>50</v>
      </c>
      <c r="D29" s="24">
        <f>'Children &amp; Families'!D73</f>
        <v>548</v>
      </c>
      <c r="E29" s="24">
        <f>'Children &amp; Families'!E73</f>
        <v>548</v>
      </c>
      <c r="F29" s="24">
        <f>'Children &amp; Families'!F73</f>
        <v>548</v>
      </c>
      <c r="G29" s="244">
        <f>'Children &amp; Families'!G73</f>
        <v>0</v>
      </c>
      <c r="H29" s="61">
        <f>'Children &amp; Families'!H73</f>
        <v>0</v>
      </c>
      <c r="I29" s="24">
        <f>'Children &amp; Families'!I73</f>
        <v>0</v>
      </c>
      <c r="J29" s="244">
        <f>'Children &amp; Families'!J73</f>
        <v>0</v>
      </c>
      <c r="K29" s="61">
        <f>'Children &amp; Families'!K73</f>
        <v>0</v>
      </c>
      <c r="L29" s="244">
        <f>'Children &amp; Families'!L73</f>
        <v>0</v>
      </c>
    </row>
    <row r="30" spans="2:12" ht="14.25">
      <c r="B30" s="135" t="s">
        <v>235</v>
      </c>
      <c r="C30" s="61">
        <f>'Children &amp; Families'!C16</f>
        <v>282</v>
      </c>
      <c r="D30" s="24">
        <f>'Children &amp; Families'!D16</f>
        <v>282</v>
      </c>
      <c r="E30" s="24">
        <f>'Children &amp; Families'!E16</f>
        <v>282</v>
      </c>
      <c r="F30" s="24">
        <f>'Children &amp; Families'!F16</f>
        <v>282</v>
      </c>
      <c r="G30" s="244">
        <f>'Children &amp; Families'!G16</f>
        <v>0</v>
      </c>
      <c r="H30" s="61">
        <f>'Children &amp; Families'!H16</f>
        <v>331</v>
      </c>
      <c r="I30" s="24">
        <f>'Children &amp; Families'!I16</f>
        <v>331</v>
      </c>
      <c r="J30" s="244">
        <f>'Children &amp; Families'!J16</f>
        <v>0</v>
      </c>
      <c r="K30" s="61">
        <f>'Children &amp; Families'!K16</f>
        <v>0</v>
      </c>
      <c r="L30" s="244">
        <f>'Children &amp; Families'!L16</f>
        <v>0</v>
      </c>
    </row>
    <row r="31" spans="2:12" ht="14.25">
      <c r="B31" s="130" t="s">
        <v>248</v>
      </c>
      <c r="C31" s="61">
        <f>'Children &amp; Families'!C18</f>
        <v>2161</v>
      </c>
      <c r="D31" s="24">
        <f>'Children &amp; Families'!D18</f>
        <v>2161</v>
      </c>
      <c r="E31" s="24">
        <f>'Children &amp; Families'!E18</f>
        <v>2161</v>
      </c>
      <c r="F31" s="24">
        <f>'Children &amp; Families'!F18</f>
        <v>2161</v>
      </c>
      <c r="G31" s="244">
        <f>'Children &amp; Families'!G18</f>
        <v>0</v>
      </c>
      <c r="H31" s="61">
        <f>'Children &amp; Families'!H18</f>
        <v>2020</v>
      </c>
      <c r="I31" s="24">
        <f>'Children &amp; Families'!I18</f>
        <v>2020</v>
      </c>
      <c r="J31" s="244">
        <f>'Children &amp; Families'!J18</f>
        <v>0</v>
      </c>
      <c r="K31" s="61">
        <f>'Children &amp; Families'!K18</f>
        <v>0</v>
      </c>
      <c r="L31" s="244">
        <f>'Children &amp; Families'!L18</f>
        <v>0</v>
      </c>
    </row>
    <row r="32" spans="2:12" ht="14.25">
      <c r="B32" s="130" t="s">
        <v>285</v>
      </c>
      <c r="C32" s="61">
        <f>'Children &amp; Families'!C20</f>
        <v>0</v>
      </c>
      <c r="D32" s="24">
        <f>'Children &amp; Families'!D20</f>
        <v>0</v>
      </c>
      <c r="E32" s="24">
        <f>'Children &amp; Families'!E20</f>
        <v>1095</v>
      </c>
      <c r="F32" s="24">
        <f>'Children &amp; Families'!F20</f>
        <v>1095</v>
      </c>
      <c r="G32" s="243">
        <f>'Children &amp; Families'!G20</f>
        <v>0</v>
      </c>
      <c r="H32" s="61">
        <f>'Children &amp; Families'!H20</f>
        <v>1191</v>
      </c>
      <c r="I32" s="24">
        <f>'Children &amp; Families'!I20</f>
        <v>1191</v>
      </c>
      <c r="J32" s="244">
        <f>'Children &amp; Families'!J20</f>
        <v>0</v>
      </c>
      <c r="K32" s="61">
        <f>'Children &amp; Families'!K20</f>
        <v>0</v>
      </c>
      <c r="L32" s="244">
        <f>'Children &amp; Families'!L20</f>
        <v>0</v>
      </c>
    </row>
    <row r="33" spans="2:12" ht="14.25">
      <c r="B33" s="135" t="s">
        <v>162</v>
      </c>
      <c r="C33" s="113">
        <f>'Children &amp; Families'!C11</f>
        <v>3290</v>
      </c>
      <c r="D33" s="6">
        <f>'Children &amp; Families'!D11</f>
        <v>5266</v>
      </c>
      <c r="E33" s="6">
        <f>'Children &amp; Families'!E11</f>
        <v>5266</v>
      </c>
      <c r="F33" s="6">
        <f>'Children &amp; Families'!F11</f>
        <v>5335</v>
      </c>
      <c r="G33" s="57">
        <f>'Children &amp; Families'!G11</f>
        <v>69</v>
      </c>
      <c r="H33" s="113">
        <f>'Children &amp; Families'!H11</f>
        <v>3458</v>
      </c>
      <c r="I33" s="6">
        <f>'Children &amp; Families'!I11</f>
        <v>3458</v>
      </c>
      <c r="J33" s="57">
        <f>'Children &amp; Families'!J11</f>
        <v>0</v>
      </c>
      <c r="K33" s="113">
        <f>'Children &amp; Families'!K11</f>
        <v>3460</v>
      </c>
      <c r="L33" s="57">
        <f>'Children &amp; Families'!L11</f>
        <v>3460</v>
      </c>
    </row>
    <row r="34" spans="2:12" ht="14.25">
      <c r="B34" s="136" t="s">
        <v>210</v>
      </c>
      <c r="C34" s="66">
        <f aca="true" t="shared" si="1" ref="C34:L34">SUM(C28:C33)</f>
        <v>20710</v>
      </c>
      <c r="D34" s="8">
        <f t="shared" si="1"/>
        <v>23305</v>
      </c>
      <c r="E34" s="8">
        <f t="shared" si="1"/>
        <v>27820</v>
      </c>
      <c r="F34" s="8">
        <f t="shared" si="1"/>
        <v>24188</v>
      </c>
      <c r="G34" s="65">
        <f t="shared" si="1"/>
        <v>-3632</v>
      </c>
      <c r="H34" s="66">
        <f t="shared" si="1"/>
        <v>24018</v>
      </c>
      <c r="I34" s="8">
        <f t="shared" si="1"/>
        <v>28117</v>
      </c>
      <c r="J34" s="65">
        <f t="shared" si="1"/>
        <v>4099</v>
      </c>
      <c r="K34" s="66">
        <f t="shared" si="1"/>
        <v>14463</v>
      </c>
      <c r="L34" s="65">
        <f t="shared" si="1"/>
        <v>13090</v>
      </c>
    </row>
    <row r="35" spans="2:12" ht="14.25">
      <c r="B35" s="137" t="s">
        <v>208</v>
      </c>
      <c r="C35" s="113"/>
      <c r="D35" s="6"/>
      <c r="E35" s="6"/>
      <c r="F35" s="6"/>
      <c r="G35" s="57"/>
      <c r="H35" s="113"/>
      <c r="I35" s="7"/>
      <c r="J35" s="57"/>
      <c r="K35" s="113"/>
      <c r="L35" s="57"/>
    </row>
    <row r="36" spans="2:12" ht="14.25">
      <c r="B36" s="135" t="s">
        <v>274</v>
      </c>
      <c r="C36" s="113">
        <f>'Environment &amp; Culture'!C11</f>
        <v>5501</v>
      </c>
      <c r="D36" s="6">
        <f>'Environment &amp; Culture'!D11</f>
        <v>5963</v>
      </c>
      <c r="E36" s="6">
        <f>'Environment &amp; Culture'!E11</f>
        <v>5963</v>
      </c>
      <c r="F36" s="6">
        <f>'Environment &amp; Culture'!F11</f>
        <v>5963</v>
      </c>
      <c r="G36" s="57">
        <f>'Environment &amp; Culture'!G11</f>
        <v>0</v>
      </c>
      <c r="H36" s="113">
        <f>'Environment &amp; Culture'!H11</f>
        <v>5501</v>
      </c>
      <c r="I36" s="7">
        <f>'Environment &amp; Culture'!I11</f>
        <v>5501</v>
      </c>
      <c r="J36" s="57">
        <f>'Environment &amp; Culture'!J11</f>
        <v>0</v>
      </c>
      <c r="K36" s="113">
        <f>'Environment &amp; Culture'!K11</f>
        <v>5501</v>
      </c>
      <c r="L36" s="57">
        <f>'Environment &amp; Culture'!L11</f>
        <v>5501</v>
      </c>
    </row>
    <row r="37" spans="2:12" ht="14.25">
      <c r="B37" s="135" t="s">
        <v>250</v>
      </c>
      <c r="C37" s="61">
        <f>'Environment &amp; Culture'!C13</f>
        <v>302</v>
      </c>
      <c r="D37" s="24">
        <f>'Environment &amp; Culture'!D13</f>
        <v>302</v>
      </c>
      <c r="E37" s="24">
        <f>'Environment &amp; Culture'!E13</f>
        <v>302</v>
      </c>
      <c r="F37" s="24">
        <f>'Environment &amp; Culture'!F13</f>
        <v>302</v>
      </c>
      <c r="G37" s="244">
        <f>'Environment &amp; Culture'!G13</f>
        <v>0</v>
      </c>
      <c r="H37" s="61">
        <f>'Environment &amp; Culture'!H13</f>
        <v>317</v>
      </c>
      <c r="I37" s="243">
        <f>'Environment &amp; Culture'!I13</f>
        <v>317</v>
      </c>
      <c r="J37" s="244">
        <f>'Environment &amp; Culture'!J13</f>
        <v>0</v>
      </c>
      <c r="K37" s="61">
        <f>'Environment &amp; Culture'!K13</f>
        <v>0</v>
      </c>
      <c r="L37" s="244">
        <f>'Environment &amp; Culture'!L13</f>
        <v>0</v>
      </c>
    </row>
    <row r="38" spans="2:12" ht="14.25">
      <c r="B38" s="135" t="s">
        <v>275</v>
      </c>
      <c r="C38" s="61">
        <f>'Environment &amp; Culture'!C15</f>
        <v>0</v>
      </c>
      <c r="D38" s="24">
        <f>'Environment &amp; Culture'!D15</f>
        <v>2105</v>
      </c>
      <c r="E38" s="24">
        <f>'Environment &amp; Culture'!E15</f>
        <v>2105</v>
      </c>
      <c r="F38" s="24">
        <f>'Environment &amp; Culture'!F15</f>
        <v>2105</v>
      </c>
      <c r="G38" s="244">
        <f>'Environment &amp; Culture'!G15</f>
        <v>0</v>
      </c>
      <c r="H38" s="61">
        <f>'Environment &amp; Culture'!H15</f>
        <v>0</v>
      </c>
      <c r="I38" s="243">
        <f>'Environment &amp; Culture'!I15</f>
        <v>0</v>
      </c>
      <c r="J38" s="244">
        <f>'Environment &amp; Culture'!J15</f>
        <v>0</v>
      </c>
      <c r="K38" s="61">
        <f>'Environment &amp; Culture'!K15</f>
        <v>0</v>
      </c>
      <c r="L38" s="244">
        <f>'Environment &amp; Culture'!L15</f>
        <v>0</v>
      </c>
    </row>
    <row r="39" spans="2:12" ht="14.25">
      <c r="B39" s="135" t="s">
        <v>163</v>
      </c>
      <c r="C39" s="61">
        <f>'Environment &amp; Culture'!C17</f>
        <v>0</v>
      </c>
      <c r="D39" s="24">
        <f>'Environment &amp; Culture'!D17</f>
        <v>5108</v>
      </c>
      <c r="E39" s="24">
        <f>'Environment &amp; Culture'!E17</f>
        <v>5108</v>
      </c>
      <c r="F39" s="24">
        <f>'Environment &amp; Culture'!F17</f>
        <v>5108</v>
      </c>
      <c r="G39" s="244">
        <f>'Environment &amp; Culture'!G17</f>
        <v>0</v>
      </c>
      <c r="H39" s="61">
        <f>'Environment &amp; Culture'!H17</f>
        <v>0</v>
      </c>
      <c r="I39" s="243">
        <f>'Environment &amp; Culture'!I17</f>
        <v>0</v>
      </c>
      <c r="J39" s="244">
        <f>'Environment &amp; Culture'!J17</f>
        <v>0</v>
      </c>
      <c r="K39" s="61">
        <f>'Environment &amp; Culture'!K17</f>
        <v>0</v>
      </c>
      <c r="L39" s="244">
        <f>'Environment &amp; Culture'!L17</f>
        <v>0</v>
      </c>
    </row>
    <row r="40" spans="2:12" ht="14.25">
      <c r="B40" s="135" t="s">
        <v>253</v>
      </c>
      <c r="C40" s="61">
        <f>'Environment &amp; Culture'!C23</f>
        <v>300</v>
      </c>
      <c r="D40" s="24">
        <f>'Environment &amp; Culture'!D23</f>
        <v>405</v>
      </c>
      <c r="E40" s="24">
        <f>'Environment &amp; Culture'!E23</f>
        <v>405</v>
      </c>
      <c r="F40" s="24">
        <f>'Environment &amp; Culture'!F23</f>
        <v>405</v>
      </c>
      <c r="G40" s="243">
        <f>'Environment &amp; Culture'!G23</f>
        <v>0</v>
      </c>
      <c r="H40" s="61">
        <f>'Environment &amp; Culture'!H23</f>
        <v>0</v>
      </c>
      <c r="I40" s="243">
        <f>'Environment &amp; Culture'!I23</f>
        <v>0</v>
      </c>
      <c r="J40" s="244">
        <f>'Environment &amp; Culture'!J23</f>
        <v>0</v>
      </c>
      <c r="K40" s="61">
        <f>'Environment &amp; Culture'!K23</f>
        <v>0</v>
      </c>
      <c r="L40" s="244">
        <f>'Environment &amp; Culture'!L23</f>
        <v>0</v>
      </c>
    </row>
    <row r="41" spans="2:12" ht="14.25">
      <c r="B41" s="135" t="s">
        <v>254</v>
      </c>
      <c r="C41" s="61">
        <f>'Environment &amp; Culture'!C24+'Environment &amp; Culture'!C25+'Environment &amp; Culture'!C26+'Environment &amp; Culture'!C27+'Environment &amp; Culture'!C28</f>
        <v>0</v>
      </c>
      <c r="D41" s="24">
        <f>'Environment &amp; Culture'!D24+'Environment &amp; Culture'!D25+'Environment &amp; Culture'!D26+'Environment &amp; Culture'!D27+'Environment &amp; Culture'!D28</f>
        <v>478</v>
      </c>
      <c r="E41" s="24">
        <f>'Environment &amp; Culture'!E24+'Environment &amp; Culture'!E25+'Environment &amp; Culture'!E26+'Environment &amp; Culture'!E27+'Environment &amp; Culture'!E28</f>
        <v>478</v>
      </c>
      <c r="F41" s="24">
        <f>'Environment &amp; Culture'!F24+'Environment &amp; Culture'!F25+'Environment &amp; Culture'!F26+'Environment &amp; Culture'!F27+'Environment &amp; Culture'!F28</f>
        <v>478</v>
      </c>
      <c r="G41" s="243">
        <f>'Environment &amp; Culture'!G24+'Environment &amp; Culture'!G25+'Environment &amp; Culture'!G26+'Environment &amp; Culture'!G27+'Environment &amp; Culture'!G28</f>
        <v>0</v>
      </c>
      <c r="H41" s="61">
        <f>'Environment &amp; Culture'!H24+'Environment &amp; Culture'!H25+'Environment &amp; Culture'!H26+'Environment &amp; Culture'!H27+'Environment &amp; Culture'!H28</f>
        <v>0</v>
      </c>
      <c r="I41" s="243">
        <f>'Environment &amp; Culture'!I24+'Environment &amp; Culture'!I25+'Environment &amp; Culture'!I26+'Environment &amp; Culture'!I27+'Environment &amp; Culture'!I28</f>
        <v>0</v>
      </c>
      <c r="J41" s="244">
        <f>'Environment &amp; Culture'!J24+'Environment &amp; Culture'!J25+'Environment &amp; Culture'!J26+'Environment &amp; Culture'!J27+'Environment &amp; Culture'!J28</f>
        <v>0</v>
      </c>
      <c r="K41" s="61">
        <f>'Environment &amp; Culture'!K24+'Environment &amp; Culture'!K25+'Environment &amp; Culture'!K26+'Environment &amp; Culture'!K27+'Environment &amp; Culture'!K28</f>
        <v>0</v>
      </c>
      <c r="L41" s="244">
        <f>'Environment &amp; Culture'!L24+'Environment &amp; Culture'!L25+'Environment &amp; Culture'!L26+'Environment &amp; Culture'!L27+'Environment &amp; Culture'!L28</f>
        <v>0</v>
      </c>
    </row>
    <row r="42" spans="2:12" ht="14.25">
      <c r="B42" s="135" t="s">
        <v>255</v>
      </c>
      <c r="C42" s="61">
        <f>'Environment &amp; Culture'!C31+'Environment &amp; Culture'!C32+'Environment &amp; Culture'!C38+'Environment &amp; Culture'!C22</f>
        <v>3320</v>
      </c>
      <c r="D42" s="24">
        <f>'Environment &amp; Culture'!D31+'Environment &amp; Culture'!D32+'Environment &amp; Culture'!D38+'Environment &amp; Culture'!D22</f>
        <v>3374</v>
      </c>
      <c r="E42" s="24">
        <f>'Environment &amp; Culture'!E31+'Environment &amp; Culture'!E32+'Environment &amp; Culture'!E38+'Environment &amp; Culture'!E22</f>
        <v>3374</v>
      </c>
      <c r="F42" s="24">
        <f>'Environment &amp; Culture'!F31+'Environment &amp; Culture'!F32+'Environment &amp; Culture'!F38+'Environment &amp; Culture'!F22</f>
        <v>3374</v>
      </c>
      <c r="G42" s="243">
        <f>'Environment &amp; Culture'!G31+'Environment &amp; Culture'!G32+'Environment &amp; Culture'!G38+'Environment &amp; Culture'!G22</f>
        <v>0</v>
      </c>
      <c r="H42" s="61">
        <f>'Environment &amp; Culture'!H31+'Environment &amp; Culture'!H32+'Environment &amp; Culture'!H38+'Environment &amp; Culture'!H22</f>
        <v>2888</v>
      </c>
      <c r="I42" s="243">
        <f>'Environment &amp; Culture'!I31+'Environment &amp; Culture'!I32+'Environment &amp; Culture'!I38+'Environment &amp; Culture'!I22</f>
        <v>2888</v>
      </c>
      <c r="J42" s="244">
        <f>'Environment &amp; Culture'!J31+'Environment &amp; Culture'!J32+'Environment &amp; Culture'!J38+'Environment &amp; Culture'!J22</f>
        <v>0</v>
      </c>
      <c r="K42" s="61">
        <f>'Environment &amp; Culture'!K31+'Environment &amp; Culture'!K32+'Environment &amp; Culture'!K38+'Environment &amp; Culture'!K22</f>
        <v>2900</v>
      </c>
      <c r="L42" s="244">
        <f>'Environment &amp; Culture'!L31+'Environment &amp; Culture'!L32+'Environment &amp; Culture'!L38+'Environment &amp; Culture'!L22</f>
        <v>3000</v>
      </c>
    </row>
    <row r="43" spans="2:12" ht="14.25">
      <c r="B43" s="135" t="s">
        <v>256</v>
      </c>
      <c r="C43" s="61">
        <f>'Environment &amp; Culture'!C34+'Environment &amp; Culture'!C35+'Environment &amp; Culture'!C36</f>
        <v>700</v>
      </c>
      <c r="D43" s="24">
        <f>'Environment &amp; Culture'!D34+'Environment &amp; Culture'!D35+'Environment &amp; Culture'!D36</f>
        <v>744</v>
      </c>
      <c r="E43" s="24">
        <f>'Environment &amp; Culture'!E34+'Environment &amp; Culture'!E35+'Environment &amp; Culture'!E36</f>
        <v>1082</v>
      </c>
      <c r="F43" s="24">
        <f>'Environment &amp; Culture'!F34+'Environment &amp; Culture'!F35+'Environment &amp; Culture'!F36</f>
        <v>956</v>
      </c>
      <c r="G43" s="244">
        <f>'Environment &amp; Culture'!G34+'Environment &amp; Culture'!G35+'Environment &amp; Culture'!G36</f>
        <v>-126</v>
      </c>
      <c r="H43" s="61">
        <f>'Environment &amp; Culture'!H34+'Environment &amp; Culture'!H35+'Environment &amp; Culture'!H36</f>
        <v>450</v>
      </c>
      <c r="I43" s="243">
        <f>'Environment &amp; Culture'!I34+'Environment &amp; Culture'!I35+'Environment &amp; Culture'!I36</f>
        <v>450</v>
      </c>
      <c r="J43" s="244">
        <f>'Environment &amp; Culture'!J34+'Environment &amp; Culture'!J35+'Environment &amp; Culture'!J36</f>
        <v>0</v>
      </c>
      <c r="K43" s="61">
        <f>'Environment &amp; Culture'!K34+'Environment &amp; Culture'!K35+'Environment &amp; Culture'!K36</f>
        <v>700</v>
      </c>
      <c r="L43" s="244">
        <f>'Environment &amp; Culture'!L34+'Environment &amp; Culture'!L35+'Environment &amp; Culture'!L36</f>
        <v>700</v>
      </c>
    </row>
    <row r="44" spans="2:12" ht="14.25">
      <c r="B44" s="135" t="s">
        <v>257</v>
      </c>
      <c r="C44" s="245">
        <f>'Environment &amp; Culture'!C44</f>
        <v>0</v>
      </c>
      <c r="D44" s="247">
        <f>'Environment &amp; Culture'!D44</f>
        <v>576</v>
      </c>
      <c r="E44" s="247">
        <f>'Environment &amp; Culture'!E44</f>
        <v>576</v>
      </c>
      <c r="F44" s="247">
        <f>'Environment &amp; Culture'!F44</f>
        <v>987</v>
      </c>
      <c r="G44" s="276">
        <f>'Environment &amp; Culture'!G44</f>
        <v>411</v>
      </c>
      <c r="H44" s="245">
        <f>'Environment &amp; Culture'!H44</f>
        <v>0</v>
      </c>
      <c r="I44" s="246">
        <f>'Environment &amp; Culture'!I44</f>
        <v>0</v>
      </c>
      <c r="J44" s="276">
        <f>'Environment &amp; Culture'!J44</f>
        <v>0</v>
      </c>
      <c r="K44" s="245">
        <f>'Environment &amp; Culture'!K44</f>
        <v>0</v>
      </c>
      <c r="L44" s="244">
        <f>'Environment &amp; Culture'!L44</f>
        <v>0</v>
      </c>
    </row>
    <row r="45" spans="2:12" ht="14.25">
      <c r="B45" s="136" t="s">
        <v>209</v>
      </c>
      <c r="C45" s="66">
        <f aca="true" t="shared" si="2" ref="C45:L45">SUM(C36:C44)</f>
        <v>10123</v>
      </c>
      <c r="D45" s="8">
        <f t="shared" si="2"/>
        <v>19055</v>
      </c>
      <c r="E45" s="8">
        <f t="shared" si="2"/>
        <v>19393</v>
      </c>
      <c r="F45" s="8">
        <f t="shared" si="2"/>
        <v>19678</v>
      </c>
      <c r="G45" s="65">
        <f t="shared" si="2"/>
        <v>285</v>
      </c>
      <c r="H45" s="66">
        <f t="shared" si="2"/>
        <v>9156</v>
      </c>
      <c r="I45" s="16">
        <f t="shared" si="2"/>
        <v>9156</v>
      </c>
      <c r="J45" s="65">
        <f t="shared" si="2"/>
        <v>0</v>
      </c>
      <c r="K45" s="66">
        <f t="shared" si="2"/>
        <v>9101</v>
      </c>
      <c r="L45" s="65">
        <f t="shared" si="2"/>
        <v>9201</v>
      </c>
    </row>
    <row r="46" spans="2:12" ht="14.25">
      <c r="B46" s="137" t="s">
        <v>218</v>
      </c>
      <c r="C46" s="113"/>
      <c r="D46" s="6"/>
      <c r="E46" s="6"/>
      <c r="F46" s="6"/>
      <c r="G46" s="57"/>
      <c r="H46" s="113"/>
      <c r="I46" s="7"/>
      <c r="J46" s="57"/>
      <c r="K46" s="113"/>
      <c r="L46" s="57"/>
    </row>
    <row r="47" spans="2:12" ht="14.25">
      <c r="B47" s="135" t="s">
        <v>258</v>
      </c>
      <c r="C47" s="61">
        <f>'Housing &amp; CC Adults'!C24-'Housing &amp; CC Adults'!C14</f>
        <v>425</v>
      </c>
      <c r="D47" s="24">
        <f>'Housing &amp; CC Adults'!D24-'Housing &amp; CC Adults'!D14</f>
        <v>544</v>
      </c>
      <c r="E47" s="24">
        <f>'Housing &amp; CC Adults'!E24-'Housing &amp; CC Adults'!E14</f>
        <v>544</v>
      </c>
      <c r="F47" s="24">
        <f>'Housing &amp; CC Adults'!F24-'Housing &amp; CC Adults'!F14</f>
        <v>329</v>
      </c>
      <c r="G47" s="244">
        <f>'Housing &amp; CC Adults'!G24-'Housing &amp; CC Adults'!G14</f>
        <v>-215</v>
      </c>
      <c r="H47" s="61">
        <f>'Housing &amp; CC Adults'!H24-'Housing &amp; CC Adults'!H14</f>
        <v>0</v>
      </c>
      <c r="I47" s="243">
        <f>'Housing &amp; CC Adults'!I24-'Housing &amp; CC Adults'!I14</f>
        <v>0</v>
      </c>
      <c r="J47" s="244">
        <f>'Housing &amp; CC Adults'!J24-'Housing &amp; CC Adults'!J14</f>
        <v>0</v>
      </c>
      <c r="K47" s="61">
        <f>'Housing &amp; CC Adults'!K24-'Housing &amp; CC Adults'!K14</f>
        <v>0</v>
      </c>
      <c r="L47" s="244">
        <f>'Housing &amp; CC Adults'!L24-'Housing &amp; CC Adults'!L14</f>
        <v>0</v>
      </c>
    </row>
    <row r="48" spans="2:12" ht="14.25">
      <c r="B48" s="135" t="s">
        <v>235</v>
      </c>
      <c r="C48" s="245">
        <f>'Housing &amp; CC Adults'!C14</f>
        <v>175</v>
      </c>
      <c r="D48" s="247">
        <f>'Housing &amp; CC Adults'!D14</f>
        <v>175</v>
      </c>
      <c r="E48" s="247">
        <f>'Housing &amp; CC Adults'!E14</f>
        <v>175</v>
      </c>
      <c r="F48" s="247">
        <f>'Housing &amp; CC Adults'!F14</f>
        <v>180</v>
      </c>
      <c r="G48" s="276">
        <f>'Housing &amp; CC Adults'!G14</f>
        <v>5</v>
      </c>
      <c r="H48" s="245">
        <f>'Housing &amp; CC Adults'!H14</f>
        <v>0</v>
      </c>
      <c r="I48" s="246">
        <f>'Housing &amp; CC Adults'!I14</f>
        <v>175</v>
      </c>
      <c r="J48" s="276">
        <f>'Housing &amp; CC Adults'!J14</f>
        <v>175</v>
      </c>
      <c r="K48" s="245">
        <f>'Housing &amp; CC Adults'!K14</f>
        <v>0</v>
      </c>
      <c r="L48" s="244">
        <f>'Housing &amp; CC Adults'!L14</f>
        <v>0</v>
      </c>
    </row>
    <row r="49" spans="2:12" ht="14.25">
      <c r="B49" s="136" t="s">
        <v>219</v>
      </c>
      <c r="C49" s="68">
        <f aca="true" t="shared" si="3" ref="C49:L49">SUM(C47:C48)</f>
        <v>600</v>
      </c>
      <c r="D49" s="9">
        <f t="shared" si="3"/>
        <v>719</v>
      </c>
      <c r="E49" s="9">
        <f t="shared" si="3"/>
        <v>719</v>
      </c>
      <c r="F49" s="9">
        <f t="shared" si="3"/>
        <v>509</v>
      </c>
      <c r="G49" s="69">
        <f t="shared" si="3"/>
        <v>-210</v>
      </c>
      <c r="H49" s="68">
        <f t="shared" si="3"/>
        <v>0</v>
      </c>
      <c r="I49" s="26">
        <f t="shared" si="3"/>
        <v>175</v>
      </c>
      <c r="J49" s="69">
        <f t="shared" si="3"/>
        <v>175</v>
      </c>
      <c r="K49" s="68">
        <f t="shared" si="3"/>
        <v>0</v>
      </c>
      <c r="L49" s="69">
        <f t="shared" si="3"/>
        <v>0</v>
      </c>
    </row>
    <row r="50" spans="2:12" ht="14.25">
      <c r="B50" s="137" t="s">
        <v>220</v>
      </c>
      <c r="C50" s="113"/>
      <c r="D50" s="6"/>
      <c r="E50" s="6"/>
      <c r="F50" s="6"/>
      <c r="G50" s="57"/>
      <c r="H50" s="113"/>
      <c r="I50" s="7"/>
      <c r="J50" s="57"/>
      <c r="K50" s="113"/>
      <c r="L50" s="57"/>
    </row>
    <row r="51" spans="2:12" ht="14.25">
      <c r="B51" s="135" t="s">
        <v>28</v>
      </c>
      <c r="C51" s="113">
        <f>'Housing &amp; CC Housing'!C15</f>
        <v>5600</v>
      </c>
      <c r="D51" s="6">
        <f>'Housing &amp; CC Housing'!D15</f>
        <v>6340</v>
      </c>
      <c r="E51" s="6">
        <f>'Housing &amp; CC Housing'!E15</f>
        <v>6340</v>
      </c>
      <c r="F51" s="6">
        <f>'Housing &amp; CC Housing'!F15</f>
        <v>6340</v>
      </c>
      <c r="G51" s="57">
        <f>'Housing &amp; CC Housing'!G15</f>
        <v>0</v>
      </c>
      <c r="H51" s="113">
        <f>'Housing &amp; CC Housing'!H15</f>
        <v>5300</v>
      </c>
      <c r="I51" s="7">
        <f>'Housing &amp; CC Housing'!I15</f>
        <v>5300</v>
      </c>
      <c r="J51" s="57">
        <f>'Housing &amp; CC Housing'!J15</f>
        <v>0</v>
      </c>
      <c r="K51" s="113">
        <f>'Housing &amp; CC Housing'!K15</f>
        <v>5300</v>
      </c>
      <c r="L51" s="57">
        <f>'Housing &amp; CC Housing'!L15</f>
        <v>5300</v>
      </c>
    </row>
    <row r="52" spans="2:12" ht="14.25">
      <c r="B52" s="135" t="s">
        <v>17</v>
      </c>
      <c r="C52" s="113">
        <f>'Housing &amp; CC Housing'!C16</f>
        <v>2969</v>
      </c>
      <c r="D52" s="6">
        <f>'Housing &amp; CC Housing'!D16</f>
        <v>2969</v>
      </c>
      <c r="E52" s="6">
        <f>'Housing &amp; CC Housing'!E16</f>
        <v>2969</v>
      </c>
      <c r="F52" s="6">
        <f>'Housing &amp; CC Housing'!F16</f>
        <v>2969</v>
      </c>
      <c r="G52" s="57">
        <f>'Housing &amp; CC Housing'!G16</f>
        <v>0</v>
      </c>
      <c r="H52" s="113">
        <f>'Housing &amp; CC Housing'!H16</f>
        <v>2969</v>
      </c>
      <c r="I52" s="7">
        <f>'Housing &amp; CC Housing'!I16</f>
        <v>2969</v>
      </c>
      <c r="J52" s="57">
        <f>'Housing &amp; CC Housing'!J16</f>
        <v>0</v>
      </c>
      <c r="K52" s="113">
        <f>'Housing &amp; CC Housing'!K16</f>
        <v>2969</v>
      </c>
      <c r="L52" s="57">
        <f>'Housing &amp; CC Housing'!L16</f>
        <v>2969</v>
      </c>
    </row>
    <row r="53" spans="2:12" ht="14.25">
      <c r="B53" s="135" t="s">
        <v>204</v>
      </c>
      <c r="C53" s="113">
        <f>'Housing &amp; CC Housing'!C22</f>
        <v>0</v>
      </c>
      <c r="D53" s="6">
        <f>'Housing &amp; CC Housing'!D22</f>
        <v>54</v>
      </c>
      <c r="E53" s="6">
        <f>'Housing &amp; CC Housing'!E22</f>
        <v>54</v>
      </c>
      <c r="F53" s="6">
        <f>'Housing &amp; CC Housing'!F22</f>
        <v>54</v>
      </c>
      <c r="G53" s="57">
        <f>'Housing &amp; CC Housing'!G22</f>
        <v>0</v>
      </c>
      <c r="H53" s="113">
        <f>'Housing &amp; CC Housing'!H22</f>
        <v>0</v>
      </c>
      <c r="I53" s="7">
        <f>'Housing &amp; CC Housing'!I22</f>
        <v>0</v>
      </c>
      <c r="J53" s="57">
        <f>'Housing &amp; CC Housing'!J22</f>
        <v>0</v>
      </c>
      <c r="K53" s="113">
        <f>'Housing &amp; CC Housing'!K22</f>
        <v>0</v>
      </c>
      <c r="L53" s="57">
        <f>'Housing &amp; CC Housing'!L22</f>
        <v>0</v>
      </c>
    </row>
    <row r="54" spans="2:12" ht="14.25">
      <c r="B54" s="136" t="s">
        <v>221</v>
      </c>
      <c r="C54" s="66">
        <f aca="true" t="shared" si="4" ref="C54:L54">SUM(C51:C53)</f>
        <v>8569</v>
      </c>
      <c r="D54" s="8">
        <f t="shared" si="4"/>
        <v>9363</v>
      </c>
      <c r="E54" s="8">
        <f t="shared" si="4"/>
        <v>9363</v>
      </c>
      <c r="F54" s="8">
        <f t="shared" si="4"/>
        <v>9363</v>
      </c>
      <c r="G54" s="65">
        <f t="shared" si="4"/>
        <v>0</v>
      </c>
      <c r="H54" s="66">
        <f t="shared" si="4"/>
        <v>8269</v>
      </c>
      <c r="I54" s="16">
        <f>SUM(I51:I53)</f>
        <v>8269</v>
      </c>
      <c r="J54" s="65">
        <f>SUM(J51:J53)</f>
        <v>0</v>
      </c>
      <c r="K54" s="66">
        <f t="shared" si="4"/>
        <v>8269</v>
      </c>
      <c r="L54" s="65">
        <f t="shared" si="4"/>
        <v>8269</v>
      </c>
    </row>
    <row r="55" spans="2:12" ht="14.25">
      <c r="B55" s="137" t="s">
        <v>277</v>
      </c>
      <c r="C55" s="115"/>
      <c r="D55" s="10"/>
      <c r="E55" s="10"/>
      <c r="F55" s="10"/>
      <c r="G55" s="59"/>
      <c r="H55" s="115"/>
      <c r="I55" s="11"/>
      <c r="J55" s="59"/>
      <c r="K55" s="115"/>
      <c r="L55" s="59"/>
    </row>
    <row r="56" spans="2:12" ht="14.25">
      <c r="B56" s="135" t="s">
        <v>259</v>
      </c>
      <c r="C56" s="61">
        <f>'Finance and Corporate Resources'!C14+'Finance and Corporate Resources'!C17+'Finance and Corporate Resources'!C18+'Finance and Corporate Resources'!C19+'Finance and Corporate Resources'!C27+'Finance and Corporate Resources'!C28</f>
        <v>225</v>
      </c>
      <c r="D56" s="24">
        <f>'Finance and Corporate Resources'!D14+'Finance and Corporate Resources'!D17+'Finance and Corporate Resources'!D18+'Finance and Corporate Resources'!D19+'Finance and Corporate Resources'!D27+'Finance and Corporate Resources'!D28</f>
        <v>723</v>
      </c>
      <c r="E56" s="24">
        <f>'Finance and Corporate Resources'!E14+'Finance and Corporate Resources'!E17+'Finance and Corporate Resources'!E18+'Finance and Corporate Resources'!E19+'Finance and Corporate Resources'!E27+'Finance and Corporate Resources'!E28</f>
        <v>723</v>
      </c>
      <c r="F56" s="24">
        <f>'Finance and Corporate Resources'!F14+'Finance and Corporate Resources'!F17+'Finance and Corporate Resources'!F18+'Finance and Corporate Resources'!F19+'Finance and Corporate Resources'!F27+'Finance and Corporate Resources'!F28</f>
        <v>723</v>
      </c>
      <c r="G56" s="244">
        <f>'Finance and Corporate Resources'!G14+'Finance and Corporate Resources'!G17+'Finance and Corporate Resources'!G18+'Finance and Corporate Resources'!G19+'Finance and Corporate Resources'!G27+'Finance and Corporate Resources'!G28</f>
        <v>0</v>
      </c>
      <c r="H56" s="61">
        <f>'Finance and Corporate Resources'!H14+'Finance and Corporate Resources'!H17+'Finance and Corporate Resources'!H18+'Finance and Corporate Resources'!H19+'Finance and Corporate Resources'!H27+'Finance and Corporate Resources'!H28</f>
        <v>425</v>
      </c>
      <c r="I56" s="24">
        <f>'Finance and Corporate Resources'!I14+'Finance and Corporate Resources'!I17+'Finance and Corporate Resources'!I18+'Finance and Corporate Resources'!I19+'Finance and Corporate Resources'!I27+'Finance and Corporate Resources'!I28</f>
        <v>425</v>
      </c>
      <c r="J56" s="244">
        <f>'Finance and Corporate Resources'!J14+'Finance and Corporate Resources'!J17+'Finance and Corporate Resources'!J18+'Finance and Corporate Resources'!J19+'Finance and Corporate Resources'!J27+'Finance and Corporate Resources'!J28</f>
        <v>0</v>
      </c>
      <c r="K56" s="61">
        <f>'Finance and Corporate Resources'!K14+'Finance and Corporate Resources'!K17+'Finance and Corporate Resources'!K18+'Finance and Corporate Resources'!K19+'Finance and Corporate Resources'!K27+'Finance and Corporate Resources'!K28</f>
        <v>0</v>
      </c>
      <c r="L56" s="244">
        <f>'Finance and Corporate Resources'!L14+'Finance and Corporate Resources'!L17+'Finance and Corporate Resources'!L18+'Finance and Corporate Resources'!L19+'Finance and Corporate Resources'!L27+'Finance and Corporate Resources'!L28</f>
        <v>0</v>
      </c>
    </row>
    <row r="57" spans="2:12" ht="14.25">
      <c r="B57" s="135" t="s">
        <v>260</v>
      </c>
      <c r="C57" s="61">
        <f>'Finance and Corporate Resources'!C15+'Finance and Corporate Resources'!C16+'Finance and Corporate Resources'!C20+'Finance and Corporate Resources'!C25+'Finance and Corporate Resources'!C26+'Finance and Corporate Resources'!C29+'Finance and Corporate Resources'!C30+'Finance and Corporate Resources'!C31+'Finance and Corporate Resources'!C32+'Finance and Corporate Resources'!C34+'Finance and Corporate Resources'!C35+'Finance and Corporate Resources'!C36+'Finance and Corporate Resources'!C37+'Finance and Corporate Resources'!C23</f>
        <v>2060</v>
      </c>
      <c r="D57" s="24">
        <f>'Finance and Corporate Resources'!D15+'Finance and Corporate Resources'!D16+'Finance and Corporate Resources'!D20+'Finance and Corporate Resources'!D25+'Finance and Corporate Resources'!D26+'Finance and Corporate Resources'!D29+'Finance and Corporate Resources'!D30+'Finance and Corporate Resources'!D31+'Finance and Corporate Resources'!D32+'Finance and Corporate Resources'!D34+'Finance and Corporate Resources'!D35+'Finance and Corporate Resources'!D36+'Finance and Corporate Resources'!D37+'Finance and Corporate Resources'!D23</f>
        <v>3740</v>
      </c>
      <c r="E57" s="24">
        <f>'Finance and Corporate Resources'!E15+'Finance and Corporate Resources'!E16+'Finance and Corporate Resources'!E20+'Finance and Corporate Resources'!E25+'Finance and Corporate Resources'!E26+'Finance and Corporate Resources'!E29+'Finance and Corporate Resources'!E30+'Finance and Corporate Resources'!E31+'Finance and Corporate Resources'!E32+'Finance and Corporate Resources'!E34+'Finance and Corporate Resources'!E35+'Finance and Corporate Resources'!E36+'Finance and Corporate Resources'!E37+'Finance and Corporate Resources'!E23</f>
        <v>3652</v>
      </c>
      <c r="F57" s="24">
        <f>'Finance and Corporate Resources'!F15+'Finance and Corporate Resources'!F16+'Finance and Corporate Resources'!F20+'Finance and Corporate Resources'!F25+'Finance and Corporate Resources'!F26+'Finance and Corporate Resources'!F29+'Finance and Corporate Resources'!F30+'Finance and Corporate Resources'!F31+'Finance and Corporate Resources'!F32+'Finance and Corporate Resources'!F34+'Finance and Corporate Resources'!F35+'Finance and Corporate Resources'!F36+'Finance and Corporate Resources'!F37+'Finance and Corporate Resources'!F23</f>
        <v>3739</v>
      </c>
      <c r="G57" s="243">
        <f>'Finance and Corporate Resources'!G15+'Finance and Corporate Resources'!G16+'Finance and Corporate Resources'!G20+'Finance and Corporate Resources'!G25+'Finance and Corporate Resources'!G26+'Finance and Corporate Resources'!G29+'Finance and Corporate Resources'!G30+'Finance and Corporate Resources'!G31+'Finance and Corporate Resources'!G32+'Finance and Corporate Resources'!G34+'Finance and Corporate Resources'!G35+'Finance and Corporate Resources'!G36+'Finance and Corporate Resources'!G37+'Finance and Corporate Resources'!G23</f>
        <v>87</v>
      </c>
      <c r="H57" s="61">
        <f>'Finance and Corporate Resources'!H15+'Finance and Corporate Resources'!H16+'Finance and Corporate Resources'!H20+'Finance and Corporate Resources'!H25+'Finance and Corporate Resources'!H26+'Finance and Corporate Resources'!H29+'Finance and Corporate Resources'!H30+'Finance and Corporate Resources'!H31+'Finance and Corporate Resources'!H32+'Finance and Corporate Resources'!H34+'Finance and Corporate Resources'!H35+'Finance and Corporate Resources'!H36+'Finance and Corporate Resources'!H37+'Finance and Corporate Resources'!H23</f>
        <v>1930</v>
      </c>
      <c r="I57" s="24">
        <f>'Finance and Corporate Resources'!I15+'Finance and Corporate Resources'!I16+'Finance and Corporate Resources'!I20+'Finance and Corporate Resources'!I25+'Finance and Corporate Resources'!I26+'Finance and Corporate Resources'!I29+'Finance and Corporate Resources'!I30+'Finance and Corporate Resources'!I31+'Finance and Corporate Resources'!I32+'Finance and Corporate Resources'!I34+'Finance and Corporate Resources'!I35+'Finance and Corporate Resources'!I36+'Finance and Corporate Resources'!I37+'Finance and Corporate Resources'!I23</f>
        <v>1930</v>
      </c>
      <c r="J57" s="244">
        <f>'Finance and Corporate Resources'!J15+'Finance and Corporate Resources'!J16+'Finance and Corporate Resources'!J20+'Finance and Corporate Resources'!J25+'Finance and Corporate Resources'!J26+'Finance and Corporate Resources'!J29+'Finance and Corporate Resources'!J30+'Finance and Corporate Resources'!J31+'Finance and Corporate Resources'!J32+'Finance and Corporate Resources'!J34+'Finance and Corporate Resources'!J35+'Finance and Corporate Resources'!J36+'Finance and Corporate Resources'!J37+'Finance and Corporate Resources'!J23</f>
        <v>0</v>
      </c>
      <c r="K57" s="61">
        <f>'Finance and Corporate Resources'!K15+'Finance and Corporate Resources'!K16+'Finance and Corporate Resources'!K20+'Finance and Corporate Resources'!K25+'Finance and Corporate Resources'!K26+'Finance and Corporate Resources'!K29+'Finance and Corporate Resources'!K30+'Finance and Corporate Resources'!K31+'Finance and Corporate Resources'!K32+'Finance and Corporate Resources'!K34+'Finance and Corporate Resources'!K35+'Finance and Corporate Resources'!K36+'Finance and Corporate Resources'!K37+'Finance and Corporate Resources'!K23</f>
        <v>2260</v>
      </c>
      <c r="L57" s="244">
        <f>'Finance and Corporate Resources'!L15+'Finance and Corporate Resources'!L16+'Finance and Corporate Resources'!L20+'Finance and Corporate Resources'!L25+'Finance and Corporate Resources'!L26+'Finance and Corporate Resources'!L29+'Finance and Corporate Resources'!L30+'Finance and Corporate Resources'!L31+'Finance and Corporate Resources'!L32+'Finance and Corporate Resources'!L34+'Finance and Corporate Resources'!L35+'Finance and Corporate Resources'!L36+'Finance and Corporate Resources'!L37+'Finance and Corporate Resources'!L23</f>
        <v>2060</v>
      </c>
    </row>
    <row r="58" spans="2:12" ht="14.25">
      <c r="B58" s="221" t="s">
        <v>46</v>
      </c>
      <c r="C58" s="61">
        <f>'Finance and Corporate Resources'!C22</f>
        <v>1000</v>
      </c>
      <c r="D58" s="24">
        <f>'Finance and Corporate Resources'!D22</f>
        <v>2000</v>
      </c>
      <c r="E58" s="24">
        <f>'Finance and Corporate Resources'!E22</f>
        <v>2000</v>
      </c>
      <c r="F58" s="24">
        <f>'Finance and Corporate Resources'!F22</f>
        <v>0</v>
      </c>
      <c r="G58" s="244">
        <f>'Finance and Corporate Resources'!G22</f>
        <v>-2000</v>
      </c>
      <c r="H58" s="61">
        <f>'Finance and Corporate Resources'!H22</f>
        <v>1000</v>
      </c>
      <c r="I58" s="24">
        <f>'Finance and Corporate Resources'!I22</f>
        <v>1000</v>
      </c>
      <c r="J58" s="244">
        <f>'Finance and Corporate Resources'!J22</f>
        <v>0</v>
      </c>
      <c r="K58" s="61">
        <f>'Finance and Corporate Resources'!K22</f>
        <v>1000</v>
      </c>
      <c r="L58" s="244">
        <f>'Finance and Corporate Resources'!L22</f>
        <v>1000</v>
      </c>
    </row>
    <row r="59" spans="2:12" ht="14.25">
      <c r="B59" s="135" t="s">
        <v>59</v>
      </c>
      <c r="C59" s="245">
        <f>'Finance and Corporate Resources'!C21</f>
        <v>0</v>
      </c>
      <c r="D59" s="247">
        <f>'Finance and Corporate Resources'!D21</f>
        <v>150</v>
      </c>
      <c r="E59" s="247">
        <f>'Finance and Corporate Resources'!E21</f>
        <v>150</v>
      </c>
      <c r="F59" s="247">
        <f>'Finance and Corporate Resources'!F21</f>
        <v>150</v>
      </c>
      <c r="G59" s="276">
        <f>'Finance and Corporate Resources'!G21</f>
        <v>0</v>
      </c>
      <c r="H59" s="245">
        <f>'Finance and Corporate Resources'!H21</f>
        <v>0</v>
      </c>
      <c r="I59" s="247">
        <f>'Finance and Corporate Resources'!I21</f>
        <v>0</v>
      </c>
      <c r="J59" s="276">
        <f>'Finance and Corporate Resources'!J21</f>
        <v>0</v>
      </c>
      <c r="K59" s="245">
        <f>'Finance and Corporate Resources'!K21</f>
        <v>0</v>
      </c>
      <c r="L59" s="244">
        <f>'Finance and Corporate Resources'!L21</f>
        <v>0</v>
      </c>
    </row>
    <row r="60" spans="2:12" ht="14.25">
      <c r="B60" s="136" t="s">
        <v>278</v>
      </c>
      <c r="C60" s="66">
        <f aca="true" t="shared" si="5" ref="C60:L60">SUM(C56:C59)</f>
        <v>3285</v>
      </c>
      <c r="D60" s="8">
        <f t="shared" si="5"/>
        <v>6613</v>
      </c>
      <c r="E60" s="8">
        <f t="shared" si="5"/>
        <v>6525</v>
      </c>
      <c r="F60" s="8">
        <f t="shared" si="5"/>
        <v>4612</v>
      </c>
      <c r="G60" s="65">
        <f t="shared" si="5"/>
        <v>-1913</v>
      </c>
      <c r="H60" s="66">
        <f t="shared" si="5"/>
        <v>3355</v>
      </c>
      <c r="I60" s="8">
        <f t="shared" si="5"/>
        <v>3355</v>
      </c>
      <c r="J60" s="65">
        <f t="shared" si="5"/>
        <v>0</v>
      </c>
      <c r="K60" s="66">
        <f t="shared" si="5"/>
        <v>3260</v>
      </c>
      <c r="L60" s="63">
        <f t="shared" si="5"/>
        <v>3060</v>
      </c>
    </row>
    <row r="61" spans="2:12" ht="14.25">
      <c r="B61" s="138" t="s">
        <v>22</v>
      </c>
      <c r="C61" s="66">
        <f aca="true" t="shared" si="6" ref="C61:L61">C60+C54+C49+C45+C34</f>
        <v>43287</v>
      </c>
      <c r="D61" s="8">
        <f t="shared" si="6"/>
        <v>59055</v>
      </c>
      <c r="E61" s="8">
        <f t="shared" si="6"/>
        <v>63820</v>
      </c>
      <c r="F61" s="8">
        <f t="shared" si="6"/>
        <v>58350</v>
      </c>
      <c r="G61" s="65">
        <f t="shared" si="6"/>
        <v>-5470</v>
      </c>
      <c r="H61" s="66">
        <f t="shared" si="6"/>
        <v>44798</v>
      </c>
      <c r="I61" s="8">
        <f>I60+I54+I49+I45+I34</f>
        <v>49072</v>
      </c>
      <c r="J61" s="65">
        <f>J60+J54+J49+J45+J34</f>
        <v>4274</v>
      </c>
      <c r="K61" s="66">
        <f t="shared" si="6"/>
        <v>35093</v>
      </c>
      <c r="L61" s="63">
        <f t="shared" si="6"/>
        <v>33620</v>
      </c>
    </row>
    <row r="62" spans="2:12" ht="14.25">
      <c r="B62" s="141" t="s">
        <v>135</v>
      </c>
      <c r="C62" s="68">
        <f aca="true" t="shared" si="7" ref="C62:L62">C61+C25</f>
        <v>0</v>
      </c>
      <c r="D62" s="9">
        <f t="shared" si="7"/>
        <v>60</v>
      </c>
      <c r="E62" s="9">
        <f t="shared" si="7"/>
        <v>310</v>
      </c>
      <c r="F62" s="9">
        <f t="shared" si="7"/>
        <v>0</v>
      </c>
      <c r="G62" s="69">
        <f t="shared" si="7"/>
        <v>-310</v>
      </c>
      <c r="H62" s="68">
        <f t="shared" si="7"/>
        <v>-250</v>
      </c>
      <c r="I62" s="9">
        <f>I61+I25</f>
        <v>0</v>
      </c>
      <c r="J62" s="69">
        <f>J61+J25</f>
        <v>250</v>
      </c>
      <c r="K62" s="68">
        <f t="shared" si="7"/>
        <v>0</v>
      </c>
      <c r="L62" s="69">
        <f t="shared" si="7"/>
        <v>0</v>
      </c>
    </row>
    <row r="63" spans="2:12" ht="15" thickBot="1">
      <c r="B63" s="170" t="s">
        <v>246</v>
      </c>
      <c r="C63" s="70">
        <f aca="true" t="shared" si="8" ref="C63:L63">C62+C26</f>
        <v>0</v>
      </c>
      <c r="D63" s="72">
        <f t="shared" si="8"/>
        <v>60</v>
      </c>
      <c r="E63" s="72">
        <f t="shared" si="8"/>
        <v>310</v>
      </c>
      <c r="F63" s="72">
        <f t="shared" si="8"/>
        <v>0</v>
      </c>
      <c r="G63" s="171">
        <f t="shared" si="8"/>
        <v>-310</v>
      </c>
      <c r="H63" s="70">
        <f t="shared" si="8"/>
        <v>-250</v>
      </c>
      <c r="I63" s="72">
        <f>I62+I26</f>
        <v>0</v>
      </c>
      <c r="J63" s="171">
        <f>J62+J26</f>
        <v>250</v>
      </c>
      <c r="K63" s="70">
        <f t="shared" si="8"/>
        <v>0</v>
      </c>
      <c r="L63" s="171">
        <f t="shared" si="8"/>
        <v>0</v>
      </c>
    </row>
    <row r="64" spans="2:11" ht="14.25">
      <c r="B64" s="13"/>
      <c r="C64" s="13"/>
      <c r="D64" s="13"/>
      <c r="E64" s="13"/>
      <c r="F64" s="13"/>
      <c r="G64" s="13"/>
      <c r="H64" s="13"/>
      <c r="I64" s="13"/>
      <c r="J64" s="13"/>
      <c r="K64" s="13"/>
    </row>
    <row r="65" spans="2:11" ht="14.25">
      <c r="B65" s="238"/>
      <c r="C65" s="13"/>
      <c r="D65" s="13"/>
      <c r="E65" s="13"/>
      <c r="F65" s="13"/>
      <c r="G65" s="13"/>
      <c r="H65" s="13"/>
      <c r="I65" s="13"/>
      <c r="J65" s="13"/>
      <c r="K65" s="13"/>
    </row>
    <row r="66" spans="1:10" ht="14.25">
      <c r="A66"/>
      <c r="B66"/>
      <c r="C66"/>
      <c r="D66"/>
      <c r="E66"/>
      <c r="F66"/>
      <c r="G66"/>
      <c r="H66"/>
      <c r="I66"/>
      <c r="J66"/>
    </row>
    <row r="67" spans="1:12" ht="18">
      <c r="A67" s="310" t="s">
        <v>273</v>
      </c>
      <c r="B67" s="310"/>
      <c r="C67" s="310"/>
      <c r="D67" s="310"/>
      <c r="E67" s="310"/>
      <c r="F67" s="310"/>
      <c r="G67" s="310"/>
      <c r="H67" s="310"/>
      <c r="I67" s="310"/>
      <c r="J67" s="310"/>
      <c r="K67" s="310"/>
      <c r="L67" s="310"/>
    </row>
    <row r="68" spans="1:10" ht="14.25">
      <c r="A68"/>
      <c r="B68"/>
      <c r="C68"/>
      <c r="D68"/>
      <c r="E68"/>
      <c r="F68"/>
      <c r="G68"/>
      <c r="H68"/>
      <c r="I68"/>
      <c r="J68"/>
    </row>
    <row r="69" spans="1:12" ht="18">
      <c r="A69" s="310" t="s">
        <v>34</v>
      </c>
      <c r="B69" s="310"/>
      <c r="C69" s="310"/>
      <c r="D69" s="310"/>
      <c r="E69" s="310"/>
      <c r="F69" s="310"/>
      <c r="G69" s="310"/>
      <c r="H69" s="310"/>
      <c r="I69" s="310"/>
      <c r="J69" s="310"/>
      <c r="K69" s="310"/>
      <c r="L69" s="310"/>
    </row>
    <row r="70" ht="15" thickBot="1"/>
    <row r="71" spans="2:12" ht="14.25">
      <c r="B71" s="126"/>
      <c r="C71" s="283" t="s">
        <v>2</v>
      </c>
      <c r="D71" s="283" t="s">
        <v>2</v>
      </c>
      <c r="E71" s="284" t="s">
        <v>2</v>
      </c>
      <c r="F71" s="284" t="s">
        <v>2</v>
      </c>
      <c r="G71" s="285" t="s">
        <v>2</v>
      </c>
      <c r="H71" s="283" t="s">
        <v>37</v>
      </c>
      <c r="I71" s="284" t="s">
        <v>37</v>
      </c>
      <c r="J71" s="285" t="s">
        <v>37</v>
      </c>
      <c r="K71" s="284" t="s">
        <v>63</v>
      </c>
      <c r="L71" s="285" t="s">
        <v>226</v>
      </c>
    </row>
    <row r="72" spans="2:12" ht="14.25">
      <c r="B72" s="127"/>
      <c r="C72" s="109" t="s">
        <v>288</v>
      </c>
      <c r="D72" s="109" t="s">
        <v>42</v>
      </c>
      <c r="E72" s="19" t="s">
        <v>289</v>
      </c>
      <c r="F72" s="4" t="s">
        <v>293</v>
      </c>
      <c r="G72" s="53" t="s">
        <v>281</v>
      </c>
      <c r="H72" s="109" t="s">
        <v>174</v>
      </c>
      <c r="I72" s="4" t="s">
        <v>293</v>
      </c>
      <c r="J72" s="53" t="s">
        <v>281</v>
      </c>
      <c r="K72" s="19"/>
      <c r="L72" s="79"/>
    </row>
    <row r="73" spans="2:12" ht="14.25">
      <c r="B73" s="127" t="s">
        <v>3</v>
      </c>
      <c r="C73" s="109" t="s">
        <v>174</v>
      </c>
      <c r="D73" s="109" t="s">
        <v>174</v>
      </c>
      <c r="E73" s="4" t="s">
        <v>282</v>
      </c>
      <c r="F73" s="4" t="s">
        <v>279</v>
      </c>
      <c r="G73" s="53" t="s">
        <v>292</v>
      </c>
      <c r="H73" s="109" t="s">
        <v>175</v>
      </c>
      <c r="I73" s="4" t="s">
        <v>279</v>
      </c>
      <c r="J73" s="53" t="s">
        <v>292</v>
      </c>
      <c r="K73" s="4" t="s">
        <v>174</v>
      </c>
      <c r="L73" s="53" t="s">
        <v>174</v>
      </c>
    </row>
    <row r="74" spans="2:12" ht="14.25">
      <c r="B74" s="127"/>
      <c r="C74" s="109" t="s">
        <v>175</v>
      </c>
      <c r="D74" s="109" t="s">
        <v>175</v>
      </c>
      <c r="E74" s="4" t="s">
        <v>175</v>
      </c>
      <c r="F74" s="4" t="s">
        <v>280</v>
      </c>
      <c r="G74" s="53" t="s">
        <v>282</v>
      </c>
      <c r="H74" s="109" t="s">
        <v>291</v>
      </c>
      <c r="I74" s="4" t="s">
        <v>280</v>
      </c>
      <c r="J74" s="53" t="s">
        <v>282</v>
      </c>
      <c r="K74" s="4" t="s">
        <v>175</v>
      </c>
      <c r="L74" s="53" t="s">
        <v>175</v>
      </c>
    </row>
    <row r="75" spans="2:12" ht="14.25">
      <c r="B75" s="128"/>
      <c r="C75" s="110" t="s">
        <v>5</v>
      </c>
      <c r="D75" s="110" t="s">
        <v>5</v>
      </c>
      <c r="E75" s="5" t="s">
        <v>5</v>
      </c>
      <c r="F75" s="5" t="s">
        <v>5</v>
      </c>
      <c r="G75" s="55" t="s">
        <v>5</v>
      </c>
      <c r="H75" s="110" t="s">
        <v>5</v>
      </c>
      <c r="I75" s="5" t="s">
        <v>5</v>
      </c>
      <c r="J75" s="55" t="s">
        <v>5</v>
      </c>
      <c r="K75" s="5" t="s">
        <v>5</v>
      </c>
      <c r="L75" s="55" t="s">
        <v>5</v>
      </c>
    </row>
    <row r="76" spans="2:12" ht="14.25">
      <c r="B76" s="129" t="s">
        <v>268</v>
      </c>
      <c r="C76" s="225"/>
      <c r="D76" s="19"/>
      <c r="E76" s="19"/>
      <c r="F76" s="19"/>
      <c r="G76" s="79"/>
      <c r="H76" s="225"/>
      <c r="I76" s="19"/>
      <c r="J76" s="79"/>
      <c r="K76" s="19"/>
      <c r="L76" s="79"/>
    </row>
    <row r="77" spans="2:12" ht="14.25">
      <c r="B77" s="129" t="s">
        <v>265</v>
      </c>
      <c r="C77" s="113"/>
      <c r="D77" s="7"/>
      <c r="E77" s="7"/>
      <c r="F77" s="7"/>
      <c r="G77" s="57"/>
      <c r="H77" s="113"/>
      <c r="I77" s="7"/>
      <c r="J77" s="57"/>
      <c r="K77" s="7"/>
      <c r="L77" s="57"/>
    </row>
    <row r="78" spans="2:12" ht="14.25">
      <c r="B78" s="130" t="s">
        <v>269</v>
      </c>
      <c r="C78" s="113">
        <f>Resources!C59</f>
        <v>-6500</v>
      </c>
      <c r="D78" s="6">
        <f>Resources!D59</f>
        <v>-6500</v>
      </c>
      <c r="E78" s="6">
        <f>Resources!E59</f>
        <v>-6500</v>
      </c>
      <c r="F78" s="6">
        <f>Resources!F59</f>
        <v>-6500</v>
      </c>
      <c r="G78" s="57">
        <f>Resources!G59</f>
        <v>0</v>
      </c>
      <c r="H78" s="113">
        <f>Resources!H59</f>
        <v>-6500</v>
      </c>
      <c r="I78" s="6">
        <f>Resources!I59</f>
        <v>-6500</v>
      </c>
      <c r="J78" s="57">
        <f>Resources!J59</f>
        <v>0</v>
      </c>
      <c r="K78" s="7">
        <f>Resources!K59</f>
        <v>-6500</v>
      </c>
      <c r="L78" s="57">
        <f>Resources!L59</f>
        <v>-6500</v>
      </c>
    </row>
    <row r="79" spans="2:12" ht="14.25">
      <c r="B79" s="130" t="s">
        <v>54</v>
      </c>
      <c r="C79" s="113">
        <f>Resources!C60</f>
        <v>0</v>
      </c>
      <c r="D79" s="6">
        <f>Resources!D60</f>
        <v>-3455</v>
      </c>
      <c r="E79" s="6">
        <f>Resources!E60</f>
        <v>-3455</v>
      </c>
      <c r="F79" s="6">
        <f>Resources!F60</f>
        <v>-3455</v>
      </c>
      <c r="G79" s="57">
        <f>Resources!G60</f>
        <v>0</v>
      </c>
      <c r="H79" s="113">
        <f>Resources!H60</f>
        <v>0</v>
      </c>
      <c r="I79" s="6">
        <f>Resources!I60</f>
        <v>0</v>
      </c>
      <c r="J79" s="57">
        <f>Resources!J60</f>
        <v>0</v>
      </c>
      <c r="K79" s="7">
        <f>Resources!K60</f>
        <v>0</v>
      </c>
      <c r="L79" s="57">
        <f>Resources!L60</f>
        <v>0</v>
      </c>
    </row>
    <row r="80" spans="2:12" ht="14.25">
      <c r="B80" s="129" t="s">
        <v>262</v>
      </c>
      <c r="C80" s="113">
        <f>Resources!C61</f>
        <v>0</v>
      </c>
      <c r="D80" s="6">
        <f>Resources!D61</f>
        <v>0</v>
      </c>
      <c r="E80" s="6">
        <f>Resources!E61</f>
        <v>0</v>
      </c>
      <c r="F80" s="6">
        <f>Resources!F61</f>
        <v>0</v>
      </c>
      <c r="G80" s="57">
        <f>Resources!G61</f>
        <v>0</v>
      </c>
      <c r="H80" s="113">
        <f>Resources!H61</f>
        <v>-11900</v>
      </c>
      <c r="I80" s="6">
        <f>Resources!I61</f>
        <v>-11900</v>
      </c>
      <c r="J80" s="57">
        <f>Resources!J61</f>
        <v>0</v>
      </c>
      <c r="K80" s="7">
        <f>Resources!K61</f>
        <v>0</v>
      </c>
      <c r="L80" s="57">
        <f>Resources!L61</f>
        <v>0</v>
      </c>
    </row>
    <row r="81" spans="2:12" ht="14.25">
      <c r="B81" s="249" t="s">
        <v>9</v>
      </c>
      <c r="C81" s="175">
        <f aca="true" t="shared" si="9" ref="C81:L81">SUM(C78:C80)</f>
        <v>-6500</v>
      </c>
      <c r="D81" s="178">
        <f t="shared" si="9"/>
        <v>-9955</v>
      </c>
      <c r="E81" s="178">
        <f t="shared" si="9"/>
        <v>-9955</v>
      </c>
      <c r="F81" s="178">
        <f t="shared" si="9"/>
        <v>-9955</v>
      </c>
      <c r="G81" s="80">
        <f t="shared" si="9"/>
        <v>0</v>
      </c>
      <c r="H81" s="175">
        <f t="shared" si="9"/>
        <v>-18400</v>
      </c>
      <c r="I81" s="178">
        <f t="shared" si="9"/>
        <v>-18400</v>
      </c>
      <c r="J81" s="80">
        <f t="shared" si="9"/>
        <v>0</v>
      </c>
      <c r="K81" s="28">
        <f t="shared" si="9"/>
        <v>-6500</v>
      </c>
      <c r="L81" s="80">
        <f t="shared" si="9"/>
        <v>-6500</v>
      </c>
    </row>
    <row r="82" spans="2:12" ht="14.25">
      <c r="B82" s="129" t="s">
        <v>270</v>
      </c>
      <c r="C82" s="113"/>
      <c r="D82" s="6"/>
      <c r="E82" s="6"/>
      <c r="F82" s="6"/>
      <c r="G82" s="57"/>
      <c r="H82" s="113"/>
      <c r="I82" s="6"/>
      <c r="J82" s="57"/>
      <c r="K82" s="7"/>
      <c r="L82" s="57"/>
    </row>
    <row r="83" spans="2:12" ht="14.25">
      <c r="B83" s="134" t="s">
        <v>34</v>
      </c>
      <c r="C83" s="113"/>
      <c r="D83" s="6"/>
      <c r="E83" s="6"/>
      <c r="F83" s="6"/>
      <c r="G83" s="57"/>
      <c r="H83" s="113"/>
      <c r="I83" s="6"/>
      <c r="J83" s="57"/>
      <c r="K83" s="7"/>
      <c r="L83" s="57"/>
    </row>
    <row r="84" spans="2:12" ht="14.25">
      <c r="B84" s="250" t="s">
        <v>18</v>
      </c>
      <c r="C84" s="113">
        <f>'Housing &amp; CC Housing'!C38</f>
        <v>6500</v>
      </c>
      <c r="D84" s="6">
        <f>'Housing &amp; CC Housing'!D38</f>
        <v>9955</v>
      </c>
      <c r="E84" s="6">
        <f>'Housing &amp; CC Housing'!E38</f>
        <v>9955</v>
      </c>
      <c r="F84" s="6">
        <f>'Housing &amp; CC Housing'!F38</f>
        <v>9955</v>
      </c>
      <c r="G84" s="57">
        <f>'Housing &amp; CC Housing'!G38</f>
        <v>0</v>
      </c>
      <c r="H84" s="113">
        <f>'Housing &amp; CC Housing'!H38</f>
        <v>6500</v>
      </c>
      <c r="I84" s="6">
        <f>'Housing &amp; CC Housing'!I38</f>
        <v>6500</v>
      </c>
      <c r="J84" s="57">
        <f>'Housing &amp; CC Housing'!J38</f>
        <v>0</v>
      </c>
      <c r="K84" s="7">
        <f>'Housing &amp; CC Housing'!K38</f>
        <v>6500</v>
      </c>
      <c r="L84" s="57">
        <f>'Housing &amp; CC Housing'!L38</f>
        <v>6500</v>
      </c>
    </row>
    <row r="85" spans="2:12" ht="14.25">
      <c r="B85" s="250" t="s">
        <v>53</v>
      </c>
      <c r="C85" s="113">
        <f>'Housing &amp; CC Housing'!C39</f>
        <v>0</v>
      </c>
      <c r="D85" s="6">
        <f>'Housing &amp; CC Housing'!D39</f>
        <v>0</v>
      </c>
      <c r="E85" s="6">
        <f>'Housing &amp; CC Housing'!E39</f>
        <v>0</v>
      </c>
      <c r="F85" s="6">
        <f>'Housing &amp; CC Housing'!F39</f>
        <v>0</v>
      </c>
      <c r="G85" s="57">
        <f>'Housing &amp; CC Housing'!G39</f>
        <v>0</v>
      </c>
      <c r="H85" s="113">
        <f>'Housing &amp; CC Housing'!H39</f>
        <v>11900</v>
      </c>
      <c r="I85" s="6">
        <f>'Housing &amp; CC Housing'!I39</f>
        <v>11900</v>
      </c>
      <c r="J85" s="57">
        <f>'Housing &amp; CC Housing'!J39</f>
        <v>0</v>
      </c>
      <c r="K85" s="7">
        <f>'Housing &amp; CC Housing'!K39</f>
        <v>0</v>
      </c>
      <c r="L85" s="57">
        <f>'Housing &amp; CC Housing'!L39</f>
        <v>0</v>
      </c>
    </row>
    <row r="86" spans="2:12" ht="14.25">
      <c r="B86" s="249" t="s">
        <v>40</v>
      </c>
      <c r="C86" s="66">
        <f aca="true" t="shared" si="10" ref="C86:L86">SUM(C84:C85)</f>
        <v>6500</v>
      </c>
      <c r="D86" s="8">
        <f t="shared" si="10"/>
        <v>9955</v>
      </c>
      <c r="E86" s="8">
        <f t="shared" si="10"/>
        <v>9955</v>
      </c>
      <c r="F86" s="8">
        <f t="shared" si="10"/>
        <v>9955</v>
      </c>
      <c r="G86" s="65">
        <f t="shared" si="10"/>
        <v>0</v>
      </c>
      <c r="H86" s="66">
        <f t="shared" si="10"/>
        <v>18400</v>
      </c>
      <c r="I86" s="8">
        <f t="shared" si="10"/>
        <v>18400</v>
      </c>
      <c r="J86" s="65">
        <f t="shared" si="10"/>
        <v>0</v>
      </c>
      <c r="K86" s="16">
        <f t="shared" si="10"/>
        <v>6500</v>
      </c>
      <c r="L86" s="65">
        <f t="shared" si="10"/>
        <v>6500</v>
      </c>
    </row>
    <row r="87" spans="2:12" ht="15" thickBot="1">
      <c r="B87" s="170" t="s">
        <v>27</v>
      </c>
      <c r="C87" s="70">
        <f aca="true" t="shared" si="11" ref="C87:L87">C86+C81</f>
        <v>0</v>
      </c>
      <c r="D87" s="72">
        <f t="shared" si="11"/>
        <v>0</v>
      </c>
      <c r="E87" s="72">
        <f t="shared" si="11"/>
        <v>0</v>
      </c>
      <c r="F87" s="72">
        <f t="shared" si="11"/>
        <v>0</v>
      </c>
      <c r="G87" s="171">
        <f t="shared" si="11"/>
        <v>0</v>
      </c>
      <c r="H87" s="70">
        <f t="shared" si="11"/>
        <v>0</v>
      </c>
      <c r="I87" s="72">
        <f t="shared" si="11"/>
        <v>0</v>
      </c>
      <c r="J87" s="171">
        <f t="shared" si="11"/>
        <v>0</v>
      </c>
      <c r="K87" s="223">
        <f t="shared" si="11"/>
        <v>0</v>
      </c>
      <c r="L87" s="82">
        <f t="shared" si="11"/>
        <v>0</v>
      </c>
    </row>
    <row r="88" spans="2:11" ht="14.25" customHeight="1">
      <c r="B88" s="12"/>
      <c r="C88" s="13"/>
      <c r="D88" s="13"/>
      <c r="E88" s="13"/>
      <c r="F88" s="13"/>
      <c r="G88" s="13"/>
      <c r="H88" s="13"/>
      <c r="I88" s="13"/>
      <c r="J88" s="13"/>
      <c r="K88" s="29"/>
    </row>
    <row r="89" spans="1:12" ht="18">
      <c r="A89" s="310" t="s">
        <v>273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</row>
    <row r="90" spans="1:10" ht="14.25">
      <c r="A90"/>
      <c r="B90"/>
      <c r="C90"/>
      <c r="D90"/>
      <c r="E90"/>
      <c r="F90"/>
      <c r="G90"/>
      <c r="H90"/>
      <c r="I90"/>
      <c r="J90"/>
    </row>
    <row r="91" spans="1:12" ht="18">
      <c r="A91" s="310" t="s">
        <v>110</v>
      </c>
      <c r="B91" s="310"/>
      <c r="C91" s="310"/>
      <c r="D91" s="310"/>
      <c r="E91" s="310"/>
      <c r="F91" s="310"/>
      <c r="G91" s="310"/>
      <c r="H91" s="310"/>
      <c r="I91" s="310"/>
      <c r="J91" s="310"/>
      <c r="K91" s="310"/>
      <c r="L91" s="310"/>
    </row>
    <row r="92" spans="1:10" ht="14.25" customHeight="1" thickBot="1">
      <c r="A92" s="32"/>
      <c r="B92" s="33"/>
      <c r="C92" s="33"/>
      <c r="D92" s="33"/>
      <c r="E92" s="33"/>
      <c r="F92" s="33"/>
      <c r="G92" s="33"/>
      <c r="H92" s="33"/>
      <c r="I92" s="33"/>
      <c r="J92" s="33"/>
    </row>
    <row r="93" spans="2:12" ht="30" customHeight="1">
      <c r="B93" s="126"/>
      <c r="C93" s="283" t="s">
        <v>2</v>
      </c>
      <c r="D93" s="283" t="s">
        <v>2</v>
      </c>
      <c r="E93" s="284" t="s">
        <v>2</v>
      </c>
      <c r="F93" s="284" t="s">
        <v>2</v>
      </c>
      <c r="G93" s="285" t="s">
        <v>2</v>
      </c>
      <c r="H93" s="283" t="s">
        <v>37</v>
      </c>
      <c r="I93" s="284" t="s">
        <v>37</v>
      </c>
      <c r="J93" s="285" t="s">
        <v>37</v>
      </c>
      <c r="K93" s="284" t="s">
        <v>63</v>
      </c>
      <c r="L93" s="285" t="s">
        <v>226</v>
      </c>
    </row>
    <row r="94" spans="2:12" ht="14.25">
      <c r="B94" s="127"/>
      <c r="C94" s="109" t="s">
        <v>288</v>
      </c>
      <c r="D94" s="109" t="s">
        <v>42</v>
      </c>
      <c r="E94" s="19" t="s">
        <v>289</v>
      </c>
      <c r="F94" s="4" t="s">
        <v>293</v>
      </c>
      <c r="G94" s="53" t="s">
        <v>281</v>
      </c>
      <c r="H94" s="109" t="s">
        <v>174</v>
      </c>
      <c r="I94" s="4" t="s">
        <v>293</v>
      </c>
      <c r="J94" s="53" t="s">
        <v>281</v>
      </c>
      <c r="K94" s="19"/>
      <c r="L94" s="79"/>
    </row>
    <row r="95" spans="2:13" ht="14.25">
      <c r="B95" s="127" t="s">
        <v>3</v>
      </c>
      <c r="C95" s="109" t="s">
        <v>174</v>
      </c>
      <c r="D95" s="109" t="s">
        <v>174</v>
      </c>
      <c r="E95" s="4" t="s">
        <v>282</v>
      </c>
      <c r="F95" s="4" t="s">
        <v>279</v>
      </c>
      <c r="G95" s="53" t="s">
        <v>292</v>
      </c>
      <c r="H95" s="109" t="s">
        <v>175</v>
      </c>
      <c r="I95" s="4" t="s">
        <v>279</v>
      </c>
      <c r="J95" s="53" t="s">
        <v>292</v>
      </c>
      <c r="K95" s="4" t="s">
        <v>174</v>
      </c>
      <c r="L95" s="53" t="s">
        <v>174</v>
      </c>
      <c r="M95"/>
    </row>
    <row r="96" spans="2:13" ht="14.25">
      <c r="B96" s="127"/>
      <c r="C96" s="109" t="s">
        <v>175</v>
      </c>
      <c r="D96" s="109" t="s">
        <v>175</v>
      </c>
      <c r="E96" s="4" t="s">
        <v>175</v>
      </c>
      <c r="F96" s="4" t="s">
        <v>280</v>
      </c>
      <c r="G96" s="53" t="s">
        <v>282</v>
      </c>
      <c r="H96" s="109" t="s">
        <v>291</v>
      </c>
      <c r="I96" s="4" t="s">
        <v>280</v>
      </c>
      <c r="J96" s="53" t="s">
        <v>282</v>
      </c>
      <c r="K96" s="4" t="s">
        <v>175</v>
      </c>
      <c r="L96" s="53" t="s">
        <v>175</v>
      </c>
      <c r="M96"/>
    </row>
    <row r="97" spans="2:13" ht="14.25">
      <c r="B97" s="128"/>
      <c r="C97" s="110" t="s">
        <v>5</v>
      </c>
      <c r="D97" s="110" t="s">
        <v>5</v>
      </c>
      <c r="E97" s="5" t="s">
        <v>5</v>
      </c>
      <c r="F97" s="5" t="s">
        <v>5</v>
      </c>
      <c r="G97" s="55" t="s">
        <v>5</v>
      </c>
      <c r="H97" s="110" t="s">
        <v>5</v>
      </c>
      <c r="I97" s="5" t="s">
        <v>5</v>
      </c>
      <c r="J97" s="55" t="s">
        <v>5</v>
      </c>
      <c r="K97" s="5" t="s">
        <v>5</v>
      </c>
      <c r="L97" s="55" t="s">
        <v>5</v>
      </c>
      <c r="M97"/>
    </row>
    <row r="98" spans="2:13" ht="14.25">
      <c r="B98" s="129" t="s">
        <v>39</v>
      </c>
      <c r="C98" s="225"/>
      <c r="D98" s="19"/>
      <c r="E98" s="19"/>
      <c r="F98" s="19"/>
      <c r="G98" s="79"/>
      <c r="H98" s="225"/>
      <c r="I98" s="19"/>
      <c r="J98" s="79"/>
      <c r="K98" s="19"/>
      <c r="L98" s="79"/>
      <c r="M98"/>
    </row>
    <row r="99" spans="2:13" ht="14.25">
      <c r="B99" s="130" t="s">
        <v>33</v>
      </c>
      <c r="C99" s="113">
        <f aca="true" t="shared" si="12" ref="C99:L99">C25</f>
        <v>-43287</v>
      </c>
      <c r="D99" s="6">
        <f t="shared" si="12"/>
        <v>-58995</v>
      </c>
      <c r="E99" s="6">
        <f t="shared" si="12"/>
        <v>-63510</v>
      </c>
      <c r="F99" s="6">
        <f t="shared" si="12"/>
        <v>-58350</v>
      </c>
      <c r="G99" s="57">
        <f t="shared" si="12"/>
        <v>5160</v>
      </c>
      <c r="H99" s="113">
        <f t="shared" si="12"/>
        <v>-45048</v>
      </c>
      <c r="I99" s="6">
        <f t="shared" si="12"/>
        <v>-49072</v>
      </c>
      <c r="J99" s="57">
        <f t="shared" si="12"/>
        <v>-4024</v>
      </c>
      <c r="K99" s="7">
        <f t="shared" si="12"/>
        <v>-35093</v>
      </c>
      <c r="L99" s="57">
        <f t="shared" si="12"/>
        <v>-33620</v>
      </c>
      <c r="M99"/>
    </row>
    <row r="100" spans="2:13" ht="14.25">
      <c r="B100" s="130" t="s">
        <v>34</v>
      </c>
      <c r="C100" s="113">
        <f aca="true" t="shared" si="13" ref="C100:L100">C81</f>
        <v>-6500</v>
      </c>
      <c r="D100" s="6">
        <f t="shared" si="13"/>
        <v>-9955</v>
      </c>
      <c r="E100" s="6">
        <f t="shared" si="13"/>
        <v>-9955</v>
      </c>
      <c r="F100" s="6">
        <f t="shared" si="13"/>
        <v>-9955</v>
      </c>
      <c r="G100" s="57">
        <f t="shared" si="13"/>
        <v>0</v>
      </c>
      <c r="H100" s="113">
        <f t="shared" si="13"/>
        <v>-18400</v>
      </c>
      <c r="I100" s="6">
        <f t="shared" si="13"/>
        <v>-18400</v>
      </c>
      <c r="J100" s="57">
        <f t="shared" si="13"/>
        <v>0</v>
      </c>
      <c r="K100" s="7">
        <f t="shared" si="13"/>
        <v>-6500</v>
      </c>
      <c r="L100" s="57">
        <f t="shared" si="13"/>
        <v>-6500</v>
      </c>
      <c r="M100"/>
    </row>
    <row r="101" spans="2:13" ht="14.25">
      <c r="B101" s="249" t="s">
        <v>9</v>
      </c>
      <c r="C101" s="175">
        <f aca="true" t="shared" si="14" ref="C101:L101">SUM(C99:C100)</f>
        <v>-49787</v>
      </c>
      <c r="D101" s="178">
        <f t="shared" si="14"/>
        <v>-68950</v>
      </c>
      <c r="E101" s="178">
        <f t="shared" si="14"/>
        <v>-73465</v>
      </c>
      <c r="F101" s="178">
        <f t="shared" si="14"/>
        <v>-68305</v>
      </c>
      <c r="G101" s="80">
        <f t="shared" si="14"/>
        <v>5160</v>
      </c>
      <c r="H101" s="175">
        <f t="shared" si="14"/>
        <v>-63448</v>
      </c>
      <c r="I101" s="178">
        <f t="shared" si="14"/>
        <v>-67472</v>
      </c>
      <c r="J101" s="80">
        <f t="shared" si="14"/>
        <v>-4024</v>
      </c>
      <c r="K101" s="28">
        <f t="shared" si="14"/>
        <v>-41593</v>
      </c>
      <c r="L101" s="80">
        <f t="shared" si="14"/>
        <v>-40120</v>
      </c>
      <c r="M101"/>
    </row>
    <row r="102" spans="2:13" ht="14.25">
      <c r="B102" s="129" t="s">
        <v>10</v>
      </c>
      <c r="C102" s="113"/>
      <c r="D102" s="6"/>
      <c r="E102" s="6"/>
      <c r="F102" s="6"/>
      <c r="G102" s="57"/>
      <c r="H102" s="113"/>
      <c r="I102" s="6"/>
      <c r="J102" s="57"/>
      <c r="K102" s="7"/>
      <c r="L102" s="57"/>
      <c r="M102"/>
    </row>
    <row r="103" spans="2:13" ht="14.25">
      <c r="B103" s="130" t="s">
        <v>33</v>
      </c>
      <c r="C103" s="81">
        <f aca="true" t="shared" si="15" ref="C103:L103">C61</f>
        <v>43287</v>
      </c>
      <c r="D103" s="179">
        <f t="shared" si="15"/>
        <v>59055</v>
      </c>
      <c r="E103" s="179">
        <f t="shared" si="15"/>
        <v>63820</v>
      </c>
      <c r="F103" s="179">
        <f t="shared" si="15"/>
        <v>58350</v>
      </c>
      <c r="G103" s="177">
        <f t="shared" si="15"/>
        <v>-5470</v>
      </c>
      <c r="H103" s="81">
        <f t="shared" si="15"/>
        <v>44798</v>
      </c>
      <c r="I103" s="179">
        <f t="shared" si="15"/>
        <v>49072</v>
      </c>
      <c r="J103" s="177">
        <f t="shared" si="15"/>
        <v>4274</v>
      </c>
      <c r="K103" s="43">
        <f t="shared" si="15"/>
        <v>35093</v>
      </c>
      <c r="L103" s="177">
        <f t="shared" si="15"/>
        <v>33620</v>
      </c>
      <c r="M103"/>
    </row>
    <row r="104" spans="2:13" ht="14.25">
      <c r="B104" s="130" t="s">
        <v>34</v>
      </c>
      <c r="C104" s="81">
        <f aca="true" t="shared" si="16" ref="C104:L104">C86</f>
        <v>6500</v>
      </c>
      <c r="D104" s="179">
        <f t="shared" si="16"/>
        <v>9955</v>
      </c>
      <c r="E104" s="179">
        <f t="shared" si="16"/>
        <v>9955</v>
      </c>
      <c r="F104" s="179">
        <f t="shared" si="16"/>
        <v>9955</v>
      </c>
      <c r="G104" s="177">
        <f t="shared" si="16"/>
        <v>0</v>
      </c>
      <c r="H104" s="289">
        <f t="shared" si="16"/>
        <v>18400</v>
      </c>
      <c r="I104" s="180">
        <f t="shared" si="16"/>
        <v>18400</v>
      </c>
      <c r="J104" s="182">
        <f t="shared" si="16"/>
        <v>0</v>
      </c>
      <c r="K104" s="277">
        <f t="shared" si="16"/>
        <v>6500</v>
      </c>
      <c r="L104" s="182">
        <f t="shared" si="16"/>
        <v>6500</v>
      </c>
      <c r="M104"/>
    </row>
    <row r="105" spans="2:13" ht="14.25">
      <c r="B105" s="249" t="s">
        <v>40</v>
      </c>
      <c r="C105" s="66">
        <f aca="true" t="shared" si="17" ref="C105:L105">SUM(C103:C104)</f>
        <v>49787</v>
      </c>
      <c r="D105" s="8">
        <f t="shared" si="17"/>
        <v>69010</v>
      </c>
      <c r="E105" s="8">
        <f t="shared" si="17"/>
        <v>73775</v>
      </c>
      <c r="F105" s="8">
        <f t="shared" si="17"/>
        <v>68305</v>
      </c>
      <c r="G105" s="65">
        <f t="shared" si="17"/>
        <v>-5470</v>
      </c>
      <c r="H105" s="66">
        <f t="shared" si="17"/>
        <v>63198</v>
      </c>
      <c r="I105" s="8">
        <f t="shared" si="17"/>
        <v>67472</v>
      </c>
      <c r="J105" s="65">
        <f t="shared" si="17"/>
        <v>4274</v>
      </c>
      <c r="K105" s="219">
        <f t="shared" si="17"/>
        <v>41593</v>
      </c>
      <c r="L105" s="181">
        <f t="shared" si="17"/>
        <v>40120</v>
      </c>
      <c r="M105"/>
    </row>
    <row r="106" spans="2:13" ht="14.25">
      <c r="B106" s="141" t="s">
        <v>135</v>
      </c>
      <c r="C106" s="68">
        <v>0</v>
      </c>
      <c r="D106" s="9">
        <v>0</v>
      </c>
      <c r="E106" s="9">
        <v>0</v>
      </c>
      <c r="F106" s="9">
        <v>0</v>
      </c>
      <c r="G106" s="69">
        <v>0</v>
      </c>
      <c r="H106" s="68">
        <v>0</v>
      </c>
      <c r="I106" s="9">
        <v>0</v>
      </c>
      <c r="J106" s="69">
        <v>0</v>
      </c>
      <c r="K106" s="26">
        <v>0</v>
      </c>
      <c r="L106" s="69">
        <f>L105+L101</f>
        <v>0</v>
      </c>
      <c r="M106"/>
    </row>
    <row r="107" spans="2:13" ht="15" thickBot="1">
      <c r="B107" s="170" t="s">
        <v>136</v>
      </c>
      <c r="C107" s="224">
        <f aca="true" t="shared" si="18" ref="C107:K107">C105+C101</f>
        <v>0</v>
      </c>
      <c r="D107" s="209">
        <f t="shared" si="18"/>
        <v>60</v>
      </c>
      <c r="E107" s="209">
        <f t="shared" si="18"/>
        <v>310</v>
      </c>
      <c r="F107" s="209">
        <f t="shared" si="18"/>
        <v>0</v>
      </c>
      <c r="G107" s="82">
        <f t="shared" si="18"/>
        <v>-310</v>
      </c>
      <c r="H107" s="224">
        <f t="shared" si="18"/>
        <v>-250</v>
      </c>
      <c r="I107" s="209">
        <f t="shared" si="18"/>
        <v>0</v>
      </c>
      <c r="J107" s="82">
        <f t="shared" si="18"/>
        <v>250</v>
      </c>
      <c r="K107" s="223">
        <f t="shared" si="18"/>
        <v>0</v>
      </c>
      <c r="L107" s="82">
        <v>0</v>
      </c>
      <c r="M107"/>
    </row>
    <row r="108" spans="3:13" ht="14.25">
      <c r="C108" s="1"/>
      <c r="D108" s="1"/>
      <c r="E108" s="1"/>
      <c r="F108" s="1"/>
      <c r="G108" s="1"/>
      <c r="K108" s="36"/>
      <c r="L108" s="36"/>
      <c r="M108"/>
    </row>
    <row r="109" spans="3:13" ht="14.25">
      <c r="C109" s="1"/>
      <c r="D109" s="1"/>
      <c r="E109" s="1"/>
      <c r="F109" s="1"/>
      <c r="G109" s="1"/>
      <c r="K109" s="37"/>
      <c r="L109" s="37"/>
      <c r="M109"/>
    </row>
    <row r="110" spans="3:13" ht="14.25">
      <c r="C110" s="1"/>
      <c r="D110" s="1"/>
      <c r="E110" s="1"/>
      <c r="F110" s="1"/>
      <c r="G110" s="1"/>
      <c r="K110" s="20"/>
      <c r="L110" s="20"/>
      <c r="M110"/>
    </row>
    <row r="111" spans="3:13" ht="14.25">
      <c r="C111" s="1"/>
      <c r="D111" s="1"/>
      <c r="E111" s="1"/>
      <c r="F111" s="1"/>
      <c r="G111" s="1"/>
      <c r="K111" s="20"/>
      <c r="L111" s="20"/>
      <c r="M111"/>
    </row>
    <row r="112" spans="3:13" ht="14.25">
      <c r="C112" s="1"/>
      <c r="D112" s="1"/>
      <c r="E112" s="1"/>
      <c r="F112" s="1"/>
      <c r="G112" s="1"/>
      <c r="K112" s="34"/>
      <c r="L112" s="34"/>
      <c r="M112"/>
    </row>
    <row r="113" spans="3:13" ht="14.25">
      <c r="C113" s="1"/>
      <c r="D113" s="1"/>
      <c r="E113" s="1"/>
      <c r="F113" s="1"/>
      <c r="G113" s="1"/>
      <c r="K113" s="35"/>
      <c r="L113" s="35"/>
      <c r="M113"/>
    </row>
    <row r="114" spans="3:13" ht="14.25">
      <c r="C114" s="1"/>
      <c r="D114" s="1"/>
      <c r="E114" s="1"/>
      <c r="F114" s="1"/>
      <c r="G114" s="1"/>
      <c r="K114" s="20"/>
      <c r="L114" s="20"/>
      <c r="M114"/>
    </row>
    <row r="115" spans="3:13" ht="14.25">
      <c r="C115" s="1"/>
      <c r="D115" s="1"/>
      <c r="E115" s="1"/>
      <c r="F115" s="1"/>
      <c r="G115" s="1"/>
      <c r="K115" s="20"/>
      <c r="L115" s="20"/>
      <c r="M115"/>
    </row>
    <row r="116" spans="3:13" ht="14.25">
      <c r="C116" s="1"/>
      <c r="D116" s="1"/>
      <c r="E116" s="1"/>
      <c r="F116" s="1"/>
      <c r="G116" s="1"/>
      <c r="K116" s="20"/>
      <c r="L116" s="20"/>
      <c r="M116"/>
    </row>
    <row r="117" spans="3:13" ht="14.25">
      <c r="C117" s="1"/>
      <c r="D117" s="1"/>
      <c r="E117" s="1"/>
      <c r="F117" s="1"/>
      <c r="G117" s="1"/>
      <c r="K117" s="20"/>
      <c r="L117" s="20"/>
      <c r="M117"/>
    </row>
    <row r="118" spans="3:13" ht="14.25">
      <c r="C118" s="1"/>
      <c r="D118" s="1"/>
      <c r="E118" s="1"/>
      <c r="F118" s="1"/>
      <c r="G118" s="1"/>
      <c r="K118" s="36"/>
      <c r="L118" s="36"/>
      <c r="M118"/>
    </row>
    <row r="119" spans="3:13" ht="14.25">
      <c r="C119" s="1"/>
      <c r="D119" s="1"/>
      <c r="E119" s="1"/>
      <c r="F119" s="1"/>
      <c r="G119" s="1"/>
      <c r="K119" s="38"/>
      <c r="L119" s="38"/>
      <c r="M119"/>
    </row>
    <row r="120" spans="3:13" ht="14.25">
      <c r="C120" s="1"/>
      <c r="D120" s="1"/>
      <c r="E120" s="1"/>
      <c r="F120" s="1"/>
      <c r="G120" s="1"/>
      <c r="K120" s="38"/>
      <c r="L120" s="38"/>
      <c r="M120"/>
    </row>
    <row r="121" spans="3:13" ht="14.25">
      <c r="C121" s="1"/>
      <c r="D121" s="1"/>
      <c r="E121" s="1"/>
      <c r="F121" s="1"/>
      <c r="G121" s="1"/>
      <c r="K121" s="36"/>
      <c r="L121" s="36"/>
      <c r="M121"/>
    </row>
    <row r="122" spans="3:13" ht="14.25">
      <c r="C122" s="1"/>
      <c r="D122" s="1"/>
      <c r="E122" s="1"/>
      <c r="F122" s="1"/>
      <c r="G122" s="1"/>
      <c r="K122" s="38"/>
      <c r="L122" s="38"/>
      <c r="M122"/>
    </row>
    <row r="123" spans="3:13" ht="14.25">
      <c r="C123" s="1"/>
      <c r="D123" s="1"/>
      <c r="E123" s="1"/>
      <c r="F123" s="1"/>
      <c r="G123" s="1"/>
      <c r="K123" s="38"/>
      <c r="L123" s="38"/>
      <c r="M123"/>
    </row>
    <row r="124" spans="3:13" ht="14.25">
      <c r="C124" s="1"/>
      <c r="D124" s="1"/>
      <c r="E124" s="1"/>
      <c r="F124" s="1"/>
      <c r="G124" s="1"/>
      <c r="K124" s="36"/>
      <c r="L124" s="36"/>
      <c r="M124"/>
    </row>
    <row r="125" spans="3:13" ht="14.25">
      <c r="C125" s="1"/>
      <c r="D125" s="1"/>
      <c r="E125" s="1"/>
      <c r="F125" s="1"/>
      <c r="G125" s="1"/>
      <c r="K125" s="38"/>
      <c r="L125" s="38"/>
      <c r="M125"/>
    </row>
    <row r="126" spans="3:13" ht="14.25">
      <c r="C126" s="1"/>
      <c r="D126" s="1"/>
      <c r="E126" s="1"/>
      <c r="F126" s="1"/>
      <c r="G126" s="1"/>
      <c r="K126" s="37"/>
      <c r="L126" s="37"/>
      <c r="M126"/>
    </row>
    <row r="127" spans="3:13" ht="14.25">
      <c r="C127" s="1"/>
      <c r="D127" s="1"/>
      <c r="E127" s="1"/>
      <c r="F127" s="1"/>
      <c r="G127" s="1"/>
      <c r="K127"/>
      <c r="L127"/>
      <c r="M127"/>
    </row>
    <row r="128" spans="3:13" ht="14.25">
      <c r="C128" s="1"/>
      <c r="D128" s="1"/>
      <c r="E128" s="1"/>
      <c r="F128" s="1"/>
      <c r="G128" s="1"/>
      <c r="K128"/>
      <c r="L128"/>
      <c r="M128"/>
    </row>
    <row r="129" spans="3:13" ht="14.25">
      <c r="C129" s="1"/>
      <c r="D129" s="1"/>
      <c r="E129" s="1"/>
      <c r="F129" s="1"/>
      <c r="G129" s="1"/>
      <c r="K129"/>
      <c r="L129"/>
      <c r="M129"/>
    </row>
    <row r="130" spans="3:13" ht="14.25">
      <c r="C130" s="1"/>
      <c r="D130" s="1"/>
      <c r="E130" s="1"/>
      <c r="F130" s="1"/>
      <c r="G130" s="1"/>
      <c r="K130"/>
      <c r="L130"/>
      <c r="M130"/>
    </row>
    <row r="131" spans="3:13" ht="14.25">
      <c r="C131" s="1"/>
      <c r="D131" s="1"/>
      <c r="E131" s="1"/>
      <c r="F131" s="1"/>
      <c r="G131" s="1"/>
      <c r="K131"/>
      <c r="L131"/>
      <c r="M131"/>
    </row>
    <row r="132" spans="3:13" ht="14.25">
      <c r="C132" s="1"/>
      <c r="D132" s="1"/>
      <c r="E132" s="1"/>
      <c r="F132" s="1"/>
      <c r="G132" s="1"/>
      <c r="K132"/>
      <c r="L132"/>
      <c r="M132"/>
    </row>
    <row r="133" spans="3:13" ht="14.25">
      <c r="C133" s="1"/>
      <c r="D133" s="1"/>
      <c r="E133" s="1"/>
      <c r="F133" s="1"/>
      <c r="G133" s="1"/>
      <c r="K133"/>
      <c r="L133"/>
      <c r="M133"/>
    </row>
    <row r="134" spans="3:13" ht="14.25">
      <c r="C134" s="1"/>
      <c r="D134" s="1"/>
      <c r="E134" s="1"/>
      <c r="F134" s="1"/>
      <c r="G134" s="1"/>
      <c r="K134"/>
      <c r="L134"/>
      <c r="M134"/>
    </row>
    <row r="135" spans="3:13" ht="14.25">
      <c r="C135" s="1"/>
      <c r="D135" s="1"/>
      <c r="E135" s="1"/>
      <c r="F135" s="1"/>
      <c r="G135" s="1"/>
      <c r="K135"/>
      <c r="L135"/>
      <c r="M135"/>
    </row>
    <row r="136" spans="3:13" ht="14.25">
      <c r="C136" s="1"/>
      <c r="D136" s="1"/>
      <c r="E136" s="1"/>
      <c r="F136" s="1"/>
      <c r="G136" s="1"/>
      <c r="K136"/>
      <c r="L136"/>
      <c r="M136"/>
    </row>
    <row r="137" spans="3:13" ht="14.25">
      <c r="C137" s="1"/>
      <c r="D137" s="1"/>
      <c r="E137" s="1"/>
      <c r="F137" s="1"/>
      <c r="G137" s="1"/>
      <c r="K137"/>
      <c r="L137"/>
      <c r="M137"/>
    </row>
    <row r="138" spans="3:13" ht="14.25">
      <c r="C138" s="1"/>
      <c r="D138" s="1"/>
      <c r="E138" s="1"/>
      <c r="F138" s="1"/>
      <c r="G138" s="1"/>
      <c r="K138"/>
      <c r="L138"/>
      <c r="M138"/>
    </row>
    <row r="139" spans="3:13" ht="14.25">
      <c r="C139" s="1"/>
      <c r="D139" s="1"/>
      <c r="E139" s="1"/>
      <c r="F139" s="1"/>
      <c r="G139" s="1"/>
      <c r="K139"/>
      <c r="L139"/>
      <c r="M139"/>
    </row>
    <row r="140" spans="3:13" ht="14.25">
      <c r="C140" s="1"/>
      <c r="D140" s="1"/>
      <c r="E140" s="1"/>
      <c r="F140" s="1"/>
      <c r="G140" s="1"/>
      <c r="K140"/>
      <c r="L140"/>
      <c r="M140"/>
    </row>
    <row r="141" spans="3:13" ht="14.25">
      <c r="C141" s="1"/>
      <c r="D141" s="1"/>
      <c r="E141" s="1"/>
      <c r="F141" s="1"/>
      <c r="G141" s="1"/>
      <c r="K141"/>
      <c r="L141"/>
      <c r="M141"/>
    </row>
    <row r="142" spans="3:7" ht="14.25">
      <c r="C142" s="1"/>
      <c r="D142" s="1"/>
      <c r="E142" s="1"/>
      <c r="F142" s="1"/>
      <c r="G142" s="1"/>
    </row>
    <row r="143" spans="3:7" ht="14.25">
      <c r="C143" s="1"/>
      <c r="D143" s="1"/>
      <c r="E143" s="1"/>
      <c r="F143" s="1"/>
      <c r="G143" s="1"/>
    </row>
    <row r="144" spans="3:7" ht="14.25">
      <c r="C144" s="1"/>
      <c r="D144" s="1"/>
      <c r="E144" s="1"/>
      <c r="F144" s="1"/>
      <c r="G144" s="1"/>
    </row>
  </sheetData>
  <mergeCells count="6">
    <mergeCell ref="A89:L89"/>
    <mergeCell ref="A91:L91"/>
    <mergeCell ref="A1:L1"/>
    <mergeCell ref="A3:L3"/>
    <mergeCell ref="A67:L67"/>
    <mergeCell ref="A69:L69"/>
  </mergeCells>
  <printOptions horizontalCentered="1" verticalCentered="1"/>
  <pageMargins left="0.03937007874015748" right="0.03937007874015748" top="0.4724409448818898" bottom="0.5118110236220472" header="0.31496062992125984" footer="0.31496062992125984"/>
  <pageSetup firstPageNumber="166" useFirstPageNumber="1" horizontalDpi="600" verticalDpi="600" orientation="portrait" paperSize="9" scale="54" r:id="rId1"/>
  <headerFooter alignWithMargins="0">
    <oddHeader>&amp;R&amp;"Arial,Bold"Appendix 1</oddHeader>
    <oddFooter>&amp;L&amp;D&amp;T&amp;Z&amp;F</oddFooter>
  </headerFooter>
  <rowBreaks count="1" manualBreakCount="1">
    <brk id="6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61"/>
  <sheetViews>
    <sheetView view="pageBreakPreview" zoomScale="75" zoomScaleNormal="70" zoomScaleSheetLayoutView="75" workbookViewId="0" topLeftCell="C1">
      <selection activeCell="O14" sqref="O14"/>
    </sheetView>
  </sheetViews>
  <sheetFormatPr defaultColWidth="9.140625" defaultRowHeight="12.75"/>
  <cols>
    <col min="1" max="1" width="5.7109375" style="1" customWidth="1"/>
    <col min="2" max="2" width="54.28125" style="1" bestFit="1" customWidth="1"/>
    <col min="3" max="3" width="14.00390625" style="2" bestFit="1" customWidth="1"/>
    <col min="4" max="4" width="14.00390625" style="2" customWidth="1"/>
    <col min="5" max="5" width="14.00390625" style="2" bestFit="1" customWidth="1"/>
    <col min="6" max="6" width="11.7109375" style="2" bestFit="1" customWidth="1"/>
    <col min="7" max="7" width="13.57421875" style="2" bestFit="1" customWidth="1"/>
    <col min="8" max="8" width="14.00390625" style="1" bestFit="1" customWidth="1"/>
    <col min="9" max="10" width="14.00390625" style="1" customWidth="1"/>
    <col min="11" max="12" width="14.00390625" style="1" bestFit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1" ht="18">
      <c r="A3" s="310" t="s">
        <v>184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5" thickBot="1"/>
    <row r="5" spans="2:12" ht="14.25">
      <c r="B5" s="126"/>
      <c r="C5" s="283" t="s">
        <v>2</v>
      </c>
      <c r="D5" s="284" t="s">
        <v>2</v>
      </c>
      <c r="E5" s="284" t="s">
        <v>2</v>
      </c>
      <c r="F5" s="284" t="s">
        <v>2</v>
      </c>
      <c r="G5" s="285" t="s">
        <v>2</v>
      </c>
      <c r="H5" s="283" t="s">
        <v>37</v>
      </c>
      <c r="I5" s="284" t="s">
        <v>37</v>
      </c>
      <c r="J5" s="285" t="s">
        <v>37</v>
      </c>
      <c r="K5" s="283" t="s">
        <v>63</v>
      </c>
      <c r="L5" s="285" t="s">
        <v>226</v>
      </c>
    </row>
    <row r="6" spans="2:12" ht="14.25">
      <c r="B6" s="127"/>
      <c r="C6" s="109" t="s">
        <v>288</v>
      </c>
      <c r="D6" s="4" t="s">
        <v>42</v>
      </c>
      <c r="E6" s="19" t="s">
        <v>289</v>
      </c>
      <c r="F6" s="4" t="s">
        <v>293</v>
      </c>
      <c r="G6" s="53" t="s">
        <v>281</v>
      </c>
      <c r="H6" s="109" t="s">
        <v>174</v>
      </c>
      <c r="I6" s="4" t="s">
        <v>293</v>
      </c>
      <c r="J6" s="53" t="s">
        <v>281</v>
      </c>
      <c r="K6" s="109" t="s">
        <v>174</v>
      </c>
      <c r="L6" s="53" t="s">
        <v>174</v>
      </c>
    </row>
    <row r="7" spans="2:12" ht="14.25">
      <c r="B7" s="127" t="s">
        <v>3</v>
      </c>
      <c r="C7" s="109" t="s">
        <v>174</v>
      </c>
      <c r="D7" s="4" t="s">
        <v>174</v>
      </c>
      <c r="E7" s="4" t="s">
        <v>282</v>
      </c>
      <c r="F7" s="4" t="s">
        <v>279</v>
      </c>
      <c r="G7" s="53" t="s">
        <v>292</v>
      </c>
      <c r="H7" s="109" t="s">
        <v>175</v>
      </c>
      <c r="I7" s="4" t="s">
        <v>279</v>
      </c>
      <c r="J7" s="53" t="s">
        <v>292</v>
      </c>
      <c r="K7" s="109" t="s">
        <v>175</v>
      </c>
      <c r="L7" s="53" t="s">
        <v>175</v>
      </c>
    </row>
    <row r="8" spans="2:12" ht="14.25">
      <c r="B8" s="127"/>
      <c r="C8" s="109" t="s">
        <v>175</v>
      </c>
      <c r="D8" s="4" t="s">
        <v>175</v>
      </c>
      <c r="E8" s="4" t="s">
        <v>175</v>
      </c>
      <c r="F8" s="4" t="s">
        <v>280</v>
      </c>
      <c r="G8" s="53" t="s">
        <v>282</v>
      </c>
      <c r="H8" s="109" t="s">
        <v>291</v>
      </c>
      <c r="I8" s="4" t="s">
        <v>280</v>
      </c>
      <c r="J8" s="53" t="s">
        <v>282</v>
      </c>
      <c r="K8" s="109"/>
      <c r="L8" s="53"/>
    </row>
    <row r="9" spans="2:12" ht="14.25">
      <c r="B9" s="128"/>
      <c r="C9" s="110" t="s">
        <v>5</v>
      </c>
      <c r="D9" s="5" t="s">
        <v>5</v>
      </c>
      <c r="E9" s="5" t="s">
        <v>5</v>
      </c>
      <c r="F9" s="5" t="s">
        <v>5</v>
      </c>
      <c r="G9" s="55" t="s">
        <v>5</v>
      </c>
      <c r="H9" s="110" t="s">
        <v>5</v>
      </c>
      <c r="I9" s="5" t="s">
        <v>5</v>
      </c>
      <c r="J9" s="55" t="s">
        <v>5</v>
      </c>
      <c r="K9" s="110" t="s">
        <v>5</v>
      </c>
      <c r="L9" s="55" t="s">
        <v>5</v>
      </c>
    </row>
    <row r="10" spans="2:12" ht="14.25">
      <c r="B10" s="127"/>
      <c r="C10" s="225"/>
      <c r="D10" s="19"/>
      <c r="E10" s="19"/>
      <c r="F10" s="19"/>
      <c r="G10" s="79"/>
      <c r="H10" s="225"/>
      <c r="I10" s="19"/>
      <c r="J10" s="79"/>
      <c r="K10" s="225"/>
      <c r="L10" s="57"/>
    </row>
    <row r="11" spans="2:12" ht="14.25">
      <c r="B11" s="129" t="s">
        <v>29</v>
      </c>
      <c r="C11" s="116"/>
      <c r="D11" s="47"/>
      <c r="E11" s="47"/>
      <c r="F11" s="47"/>
      <c r="G11" s="89"/>
      <c r="H11" s="116"/>
      <c r="I11" s="47"/>
      <c r="J11" s="89"/>
      <c r="K11" s="116"/>
      <c r="L11" s="57"/>
    </row>
    <row r="12" spans="2:13" ht="14.25">
      <c r="B12" s="130" t="s">
        <v>47</v>
      </c>
      <c r="C12" s="113">
        <f>-14366--6500</f>
        <v>-7866</v>
      </c>
      <c r="D12" s="7">
        <v>-7866</v>
      </c>
      <c r="E12" s="7">
        <v>-7866</v>
      </c>
      <c r="F12" s="7">
        <v>-7866</v>
      </c>
      <c r="G12" s="57">
        <f>F12-E12</f>
        <v>0</v>
      </c>
      <c r="H12" s="113">
        <f>-14625--6500</f>
        <v>-8125</v>
      </c>
      <c r="I12" s="7">
        <f>-14625--6500</f>
        <v>-8125</v>
      </c>
      <c r="J12" s="57">
        <f>I12-H12</f>
        <v>0</v>
      </c>
      <c r="K12" s="113">
        <f>-14910--6500</f>
        <v>-8410</v>
      </c>
      <c r="L12" s="57">
        <f>-15200--6500</f>
        <v>-8700</v>
      </c>
      <c r="M12" s="98"/>
    </row>
    <row r="13" spans="2:13" ht="14.25">
      <c r="B13" s="130" t="s">
        <v>48</v>
      </c>
      <c r="C13" s="113">
        <v>-2520</v>
      </c>
      <c r="D13" s="7">
        <v>-3076</v>
      </c>
      <c r="E13" s="7">
        <v>-3076</v>
      </c>
      <c r="F13" s="7">
        <v>-3076</v>
      </c>
      <c r="G13" s="57">
        <f aca="true" t="shared" si="0" ref="G13:G42">F13-E13</f>
        <v>0</v>
      </c>
      <c r="H13" s="113">
        <v>-2555</v>
      </c>
      <c r="I13" s="7">
        <v>-2555</v>
      </c>
      <c r="J13" s="57">
        <f aca="true" t="shared" si="1" ref="J13:J42">I13-H13</f>
        <v>0</v>
      </c>
      <c r="K13" s="113">
        <v>-2600</v>
      </c>
      <c r="L13" s="57">
        <v>-2640</v>
      </c>
      <c r="M13" s="98"/>
    </row>
    <row r="14" spans="2:13" ht="14.25">
      <c r="B14" s="131" t="s">
        <v>162</v>
      </c>
      <c r="C14" s="115">
        <v>-3290</v>
      </c>
      <c r="D14" s="11">
        <v>-5266</v>
      </c>
      <c r="E14" s="11">
        <v>-5266</v>
      </c>
      <c r="F14" s="11">
        <f>-5266+-69</f>
        <v>-5335</v>
      </c>
      <c r="G14" s="59">
        <f t="shared" si="0"/>
        <v>-69</v>
      </c>
      <c r="H14" s="115">
        <v>-3458</v>
      </c>
      <c r="I14" s="11">
        <v>-3458</v>
      </c>
      <c r="J14" s="59">
        <f t="shared" si="1"/>
        <v>0</v>
      </c>
      <c r="K14" s="115">
        <v>-3460</v>
      </c>
      <c r="L14" s="59">
        <v>-3460</v>
      </c>
      <c r="M14" s="98"/>
    </row>
    <row r="15" spans="2:13" ht="14.25">
      <c r="B15" s="131" t="s">
        <v>285</v>
      </c>
      <c r="C15" s="115">
        <v>0</v>
      </c>
      <c r="D15" s="11">
        <v>0</v>
      </c>
      <c r="E15" s="11">
        <v>-1095</v>
      </c>
      <c r="F15" s="11">
        <v>-1095</v>
      </c>
      <c r="G15" s="59">
        <f t="shared" si="0"/>
        <v>0</v>
      </c>
      <c r="H15" s="115">
        <v>-1191</v>
      </c>
      <c r="I15" s="11">
        <v>-1191</v>
      </c>
      <c r="J15" s="59">
        <f t="shared" si="1"/>
        <v>0</v>
      </c>
      <c r="K15" s="115">
        <v>0</v>
      </c>
      <c r="L15" s="59">
        <v>0</v>
      </c>
      <c r="M15" s="98"/>
    </row>
    <row r="16" spans="2:13" ht="14.25">
      <c r="B16" s="131" t="s">
        <v>247</v>
      </c>
      <c r="C16" s="115">
        <v>-2161</v>
      </c>
      <c r="D16" s="11">
        <v>-2161</v>
      </c>
      <c r="E16" s="11">
        <v>-2161</v>
      </c>
      <c r="F16" s="11">
        <v>-2161</v>
      </c>
      <c r="G16" s="59">
        <f t="shared" si="0"/>
        <v>0</v>
      </c>
      <c r="H16" s="115">
        <v>-2020</v>
      </c>
      <c r="I16" s="11">
        <v>-2020</v>
      </c>
      <c r="J16" s="59">
        <f t="shared" si="1"/>
        <v>0</v>
      </c>
      <c r="K16" s="115"/>
      <c r="L16" s="59"/>
      <c r="M16" s="98"/>
    </row>
    <row r="17" spans="2:13" ht="14.25">
      <c r="B17" s="131" t="s">
        <v>225</v>
      </c>
      <c r="C17" s="115">
        <v>-5501</v>
      </c>
      <c r="D17" s="11">
        <v>-5963</v>
      </c>
      <c r="E17" s="11">
        <v>-5963</v>
      </c>
      <c r="F17" s="11">
        <v>-5963</v>
      </c>
      <c r="G17" s="59">
        <f t="shared" si="0"/>
        <v>0</v>
      </c>
      <c r="H17" s="115">
        <v>-5501</v>
      </c>
      <c r="I17" s="11">
        <v>-5501</v>
      </c>
      <c r="J17" s="59">
        <f t="shared" si="1"/>
        <v>0</v>
      </c>
      <c r="K17" s="115">
        <v>-5501</v>
      </c>
      <c r="L17" s="59">
        <v>-5501</v>
      </c>
      <c r="M17" s="98"/>
    </row>
    <row r="18" spans="2:13" ht="14.25">
      <c r="B18" s="131" t="s">
        <v>250</v>
      </c>
      <c r="C18" s="115">
        <v>-302</v>
      </c>
      <c r="D18" s="11">
        <v>-302</v>
      </c>
      <c r="E18" s="11">
        <v>-302</v>
      </c>
      <c r="F18" s="11">
        <v>-302</v>
      </c>
      <c r="G18" s="59">
        <f t="shared" si="0"/>
        <v>0</v>
      </c>
      <c r="H18" s="115">
        <v>-317</v>
      </c>
      <c r="I18" s="11">
        <v>-317</v>
      </c>
      <c r="J18" s="59">
        <f t="shared" si="1"/>
        <v>0</v>
      </c>
      <c r="K18" s="115">
        <v>0</v>
      </c>
      <c r="L18" s="59">
        <v>0</v>
      </c>
      <c r="M18" s="98"/>
    </row>
    <row r="19" spans="2:13" ht="14.25">
      <c r="B19" s="131" t="s">
        <v>188</v>
      </c>
      <c r="C19" s="115">
        <v>0</v>
      </c>
      <c r="D19" s="11">
        <v>0</v>
      </c>
      <c r="E19" s="11">
        <v>0</v>
      </c>
      <c r="F19" s="11">
        <v>0</v>
      </c>
      <c r="G19" s="59">
        <f t="shared" si="0"/>
        <v>0</v>
      </c>
      <c r="H19" s="115">
        <v>0</v>
      </c>
      <c r="I19" s="11">
        <v>0</v>
      </c>
      <c r="J19" s="59">
        <f t="shared" si="1"/>
        <v>0</v>
      </c>
      <c r="K19" s="115">
        <v>0</v>
      </c>
      <c r="L19" s="59">
        <v>0</v>
      </c>
      <c r="M19" s="98"/>
    </row>
    <row r="20" spans="2:13" ht="14.25">
      <c r="B20" s="131" t="s">
        <v>52</v>
      </c>
      <c r="C20" s="115">
        <v>-1140</v>
      </c>
      <c r="D20" s="11">
        <v>-1140</v>
      </c>
      <c r="E20" s="11">
        <v>-1140</v>
      </c>
      <c r="F20" s="11">
        <v>-1140</v>
      </c>
      <c r="G20" s="59">
        <f t="shared" si="0"/>
        <v>0</v>
      </c>
      <c r="H20" s="115">
        <v>-1000</v>
      </c>
      <c r="I20" s="11">
        <v>-1000</v>
      </c>
      <c r="J20" s="59">
        <f t="shared" si="1"/>
        <v>0</v>
      </c>
      <c r="K20" s="115">
        <v>-1000</v>
      </c>
      <c r="L20" s="59">
        <v>-1000</v>
      </c>
      <c r="M20" s="98"/>
    </row>
    <row r="21" spans="2:13" ht="14.25">
      <c r="B21" s="131" t="s">
        <v>164</v>
      </c>
      <c r="C21" s="115">
        <v>0</v>
      </c>
      <c r="D21" s="11">
        <v>-5108</v>
      </c>
      <c r="E21" s="11">
        <v>-5108</v>
      </c>
      <c r="F21" s="11">
        <v>-5108</v>
      </c>
      <c r="G21" s="59">
        <f t="shared" si="0"/>
        <v>0</v>
      </c>
      <c r="H21" s="115">
        <v>0</v>
      </c>
      <c r="I21" s="11">
        <v>0</v>
      </c>
      <c r="J21" s="59">
        <f t="shared" si="1"/>
        <v>0</v>
      </c>
      <c r="K21" s="115">
        <v>0</v>
      </c>
      <c r="L21" s="59">
        <v>0</v>
      </c>
      <c r="M21" s="98"/>
    </row>
    <row r="22" spans="2:13" ht="14.25">
      <c r="B22" s="131" t="s">
        <v>213</v>
      </c>
      <c r="C22" s="115">
        <v>0</v>
      </c>
      <c r="D22" s="11">
        <v>-167</v>
      </c>
      <c r="E22" s="11">
        <v>-167</v>
      </c>
      <c r="F22" s="11">
        <v>-167</v>
      </c>
      <c r="G22" s="59">
        <f t="shared" si="0"/>
        <v>0</v>
      </c>
      <c r="H22" s="115">
        <v>0</v>
      </c>
      <c r="I22" s="11">
        <v>0</v>
      </c>
      <c r="J22" s="59">
        <f t="shared" si="1"/>
        <v>0</v>
      </c>
      <c r="K22" s="115">
        <v>0</v>
      </c>
      <c r="L22" s="59">
        <v>0</v>
      </c>
      <c r="M22" s="98"/>
    </row>
    <row r="23" spans="2:13" ht="14.25">
      <c r="B23" s="131" t="s">
        <v>230</v>
      </c>
      <c r="C23" s="115"/>
      <c r="D23" s="11"/>
      <c r="E23" s="11"/>
      <c r="F23" s="11"/>
      <c r="G23" s="59">
        <f t="shared" si="0"/>
        <v>0</v>
      </c>
      <c r="H23" s="115"/>
      <c r="I23" s="11"/>
      <c r="J23" s="59">
        <f t="shared" si="1"/>
        <v>0</v>
      </c>
      <c r="K23" s="115"/>
      <c r="L23" s="59"/>
      <c r="M23" s="98"/>
    </row>
    <row r="24" spans="2:13" ht="14.25">
      <c r="B24" s="131" t="s">
        <v>231</v>
      </c>
      <c r="C24" s="115">
        <v>-126</v>
      </c>
      <c r="D24" s="11">
        <v>-126</v>
      </c>
      <c r="E24" s="11">
        <v>-126</v>
      </c>
      <c r="F24" s="11">
        <v>-126</v>
      </c>
      <c r="G24" s="59">
        <f t="shared" si="0"/>
        <v>0</v>
      </c>
      <c r="H24" s="115">
        <v>-126</v>
      </c>
      <c r="I24" s="11">
        <v>-126</v>
      </c>
      <c r="J24" s="59">
        <f t="shared" si="1"/>
        <v>0</v>
      </c>
      <c r="K24" s="115">
        <v>0</v>
      </c>
      <c r="L24" s="59">
        <v>0</v>
      </c>
      <c r="M24" s="98"/>
    </row>
    <row r="25" spans="2:13" ht="14.25">
      <c r="B25" s="131" t="s">
        <v>232</v>
      </c>
      <c r="C25" s="115">
        <v>-156</v>
      </c>
      <c r="D25" s="11">
        <v>-156</v>
      </c>
      <c r="E25" s="11">
        <v>-156</v>
      </c>
      <c r="F25" s="11">
        <v>-156</v>
      </c>
      <c r="G25" s="59">
        <f t="shared" si="0"/>
        <v>0</v>
      </c>
      <c r="H25" s="115">
        <v>-205</v>
      </c>
      <c r="I25" s="11">
        <v>-205</v>
      </c>
      <c r="J25" s="59">
        <f t="shared" si="1"/>
        <v>0</v>
      </c>
      <c r="K25" s="115">
        <v>0</v>
      </c>
      <c r="L25" s="59">
        <v>0</v>
      </c>
      <c r="M25" s="98"/>
    </row>
    <row r="26" spans="2:13" ht="14.25">
      <c r="B26" s="131" t="s">
        <v>234</v>
      </c>
      <c r="C26" s="115"/>
      <c r="D26" s="11"/>
      <c r="E26" s="11"/>
      <c r="F26" s="11"/>
      <c r="G26" s="59"/>
      <c r="H26" s="115"/>
      <c r="I26" s="11"/>
      <c r="J26" s="59"/>
      <c r="K26" s="115"/>
      <c r="L26" s="59"/>
      <c r="M26" s="98"/>
    </row>
    <row r="27" spans="2:13" ht="14.25">
      <c r="B27" s="131" t="s">
        <v>233</v>
      </c>
      <c r="C27" s="115">
        <v>-175</v>
      </c>
      <c r="D27" s="11">
        <v>-175</v>
      </c>
      <c r="E27" s="11">
        <v>-175</v>
      </c>
      <c r="F27" s="11">
        <v>-180</v>
      </c>
      <c r="G27" s="59">
        <f t="shared" si="0"/>
        <v>-5</v>
      </c>
      <c r="H27" s="115">
        <v>0</v>
      </c>
      <c r="I27" s="11">
        <v>-175</v>
      </c>
      <c r="J27" s="59">
        <f t="shared" si="1"/>
        <v>-175</v>
      </c>
      <c r="K27" s="115">
        <v>0</v>
      </c>
      <c r="L27" s="59">
        <v>0</v>
      </c>
      <c r="M27" s="98"/>
    </row>
    <row r="28" spans="2:13" ht="14.25">
      <c r="B28" s="131" t="s">
        <v>211</v>
      </c>
      <c r="C28" s="115">
        <v>-800</v>
      </c>
      <c r="D28" s="11">
        <v>-800</v>
      </c>
      <c r="E28" s="11">
        <v>-4220</v>
      </c>
      <c r="F28" s="11">
        <f>-4220+-398--700</f>
        <v>-3918</v>
      </c>
      <c r="G28" s="59">
        <f t="shared" si="0"/>
        <v>302</v>
      </c>
      <c r="H28" s="115">
        <f>-2400</f>
        <v>-2400</v>
      </c>
      <c r="I28" s="11">
        <f>-2400+-700</f>
        <v>-3100</v>
      </c>
      <c r="J28" s="59">
        <f t="shared" si="1"/>
        <v>-700</v>
      </c>
      <c r="K28" s="115">
        <v>-1280</v>
      </c>
      <c r="L28" s="59">
        <v>0</v>
      </c>
      <c r="M28" s="98"/>
    </row>
    <row r="29" spans="2:13" ht="14.25">
      <c r="B29" s="282" t="s">
        <v>287</v>
      </c>
      <c r="C29" s="115">
        <v>0</v>
      </c>
      <c r="D29" s="11">
        <v>-462</v>
      </c>
      <c r="E29" s="11">
        <v>-462</v>
      </c>
      <c r="F29" s="11">
        <f>-462+-157</f>
        <v>-619</v>
      </c>
      <c r="G29" s="59">
        <f t="shared" si="0"/>
        <v>-157</v>
      </c>
      <c r="H29" s="115">
        <v>0</v>
      </c>
      <c r="I29" s="11">
        <v>0</v>
      </c>
      <c r="J29" s="59">
        <f t="shared" si="1"/>
        <v>0</v>
      </c>
      <c r="K29" s="115">
        <v>0</v>
      </c>
      <c r="L29" s="59">
        <v>0</v>
      </c>
      <c r="M29" s="98"/>
    </row>
    <row r="30" spans="2:13" ht="14.25">
      <c r="B30" s="131" t="s">
        <v>137</v>
      </c>
      <c r="C30" s="115">
        <v>-1750</v>
      </c>
      <c r="D30" s="11">
        <v>-1750</v>
      </c>
      <c r="E30" s="11">
        <v>-1750</v>
      </c>
      <c r="F30" s="11">
        <v>-1750</v>
      </c>
      <c r="G30" s="59">
        <f t="shared" si="0"/>
        <v>0</v>
      </c>
      <c r="H30" s="115">
        <v>-1750</v>
      </c>
      <c r="I30" s="11">
        <v>-1750</v>
      </c>
      <c r="J30" s="59">
        <f t="shared" si="1"/>
        <v>0</v>
      </c>
      <c r="K30" s="115">
        <v>-1750</v>
      </c>
      <c r="L30" s="59">
        <v>-1750</v>
      </c>
      <c r="M30" s="98"/>
    </row>
    <row r="31" spans="2:13" ht="14.25">
      <c r="B31" s="131" t="s">
        <v>138</v>
      </c>
      <c r="C31" s="115">
        <v>-200</v>
      </c>
      <c r="D31" s="11">
        <v>-400</v>
      </c>
      <c r="E31" s="11">
        <v>-400</v>
      </c>
      <c r="F31" s="11">
        <v>-400</v>
      </c>
      <c r="G31" s="59">
        <f t="shared" si="0"/>
        <v>0</v>
      </c>
      <c r="H31" s="115">
        <v>-200</v>
      </c>
      <c r="I31" s="11">
        <v>-200</v>
      </c>
      <c r="J31" s="59">
        <f t="shared" si="1"/>
        <v>0</v>
      </c>
      <c r="K31" s="115">
        <v>-200</v>
      </c>
      <c r="L31" s="59">
        <v>-200</v>
      </c>
      <c r="M31" s="98"/>
    </row>
    <row r="32" spans="2:13" ht="14.25">
      <c r="B32" s="131" t="s">
        <v>139</v>
      </c>
      <c r="C32" s="115">
        <v>-3000</v>
      </c>
      <c r="D32" s="11">
        <v>-4071</v>
      </c>
      <c r="E32" s="11">
        <v>-4071</v>
      </c>
      <c r="F32" s="11">
        <v>-4071</v>
      </c>
      <c r="G32" s="59">
        <f t="shared" si="0"/>
        <v>0</v>
      </c>
      <c r="H32" s="115">
        <v>-2000</v>
      </c>
      <c r="I32" s="11">
        <v>-2000</v>
      </c>
      <c r="J32" s="59">
        <f t="shared" si="1"/>
        <v>0</v>
      </c>
      <c r="K32" s="115">
        <v>-2000</v>
      </c>
      <c r="L32" s="59">
        <v>-2000</v>
      </c>
      <c r="M32" s="98"/>
    </row>
    <row r="33" spans="2:13" ht="14.25">
      <c r="B33" s="131" t="s">
        <v>236</v>
      </c>
      <c r="C33" s="115">
        <v>0</v>
      </c>
      <c r="D33" s="11">
        <v>0</v>
      </c>
      <c r="E33" s="11">
        <v>0</v>
      </c>
      <c r="F33" s="11">
        <v>0</v>
      </c>
      <c r="G33" s="59">
        <f t="shared" si="0"/>
        <v>0</v>
      </c>
      <c r="H33" s="115">
        <v>0</v>
      </c>
      <c r="I33" s="11">
        <v>0</v>
      </c>
      <c r="J33" s="59">
        <f t="shared" si="1"/>
        <v>0</v>
      </c>
      <c r="K33" s="115">
        <v>0</v>
      </c>
      <c r="L33" s="59">
        <v>0</v>
      </c>
      <c r="M33" s="98"/>
    </row>
    <row r="34" spans="2:13" ht="14.25">
      <c r="B34" s="131" t="s">
        <v>227</v>
      </c>
      <c r="C34" s="115">
        <v>-295</v>
      </c>
      <c r="D34" s="11">
        <v>-295</v>
      </c>
      <c r="E34" s="11">
        <v>-295</v>
      </c>
      <c r="F34" s="11">
        <v>-295</v>
      </c>
      <c r="G34" s="59">
        <f t="shared" si="0"/>
        <v>0</v>
      </c>
      <c r="H34" s="115">
        <v>0</v>
      </c>
      <c r="I34" s="11">
        <v>0</v>
      </c>
      <c r="J34" s="59">
        <f t="shared" si="1"/>
        <v>0</v>
      </c>
      <c r="K34" s="115">
        <v>0</v>
      </c>
      <c r="L34" s="59">
        <v>0</v>
      </c>
      <c r="M34" s="98"/>
    </row>
    <row r="35" spans="2:13" ht="14.25">
      <c r="B35" s="131" t="s">
        <v>7</v>
      </c>
      <c r="C35" s="115">
        <v>0</v>
      </c>
      <c r="D35" s="11">
        <v>0</v>
      </c>
      <c r="E35" s="11">
        <v>0</v>
      </c>
      <c r="F35" s="11">
        <v>0</v>
      </c>
      <c r="G35" s="59">
        <f t="shared" si="0"/>
        <v>0</v>
      </c>
      <c r="H35" s="115">
        <v>0</v>
      </c>
      <c r="I35" s="11">
        <v>0</v>
      </c>
      <c r="J35" s="59">
        <f t="shared" si="1"/>
        <v>0</v>
      </c>
      <c r="K35" s="115">
        <v>0</v>
      </c>
      <c r="L35" s="59">
        <v>0</v>
      </c>
      <c r="M35" s="98"/>
    </row>
    <row r="36" spans="2:13" ht="14.25">
      <c r="B36" s="131" t="s">
        <v>294</v>
      </c>
      <c r="C36" s="115">
        <v>-1688</v>
      </c>
      <c r="D36" s="11">
        <v>-5199</v>
      </c>
      <c r="E36" s="11">
        <v>-5199</v>
      </c>
      <c r="F36" s="11">
        <f>-408+-898</f>
        <v>-1306</v>
      </c>
      <c r="G36" s="59">
        <f t="shared" si="0"/>
        <v>3893</v>
      </c>
      <c r="H36" s="115">
        <v>-1888</v>
      </c>
      <c r="I36" s="11">
        <v>-2434</v>
      </c>
      <c r="J36" s="59">
        <f t="shared" si="1"/>
        <v>-546</v>
      </c>
      <c r="K36" s="115">
        <v>-1635</v>
      </c>
      <c r="L36" s="59">
        <v>0</v>
      </c>
      <c r="M36" s="98"/>
    </row>
    <row r="37" spans="2:13" ht="14.25">
      <c r="B37" s="131" t="s">
        <v>295</v>
      </c>
      <c r="C37" s="115">
        <v>0</v>
      </c>
      <c r="D37" s="11">
        <v>0</v>
      </c>
      <c r="E37" s="11">
        <v>0</v>
      </c>
      <c r="F37" s="11">
        <v>-1482</v>
      </c>
      <c r="G37" s="59">
        <f t="shared" si="0"/>
        <v>-1482</v>
      </c>
      <c r="H37" s="115">
        <v>0</v>
      </c>
      <c r="I37" s="11">
        <v>0</v>
      </c>
      <c r="J37" s="59">
        <f t="shared" si="1"/>
        <v>0</v>
      </c>
      <c r="K37" s="115">
        <v>0</v>
      </c>
      <c r="L37" s="59">
        <v>0</v>
      </c>
      <c r="M37" s="98"/>
    </row>
    <row r="38" spans="2:13" ht="14.25">
      <c r="B38" s="131" t="s">
        <v>61</v>
      </c>
      <c r="C38" s="115">
        <v>0</v>
      </c>
      <c r="D38" s="11">
        <v>0</v>
      </c>
      <c r="E38" s="11">
        <v>0</v>
      </c>
      <c r="F38" s="11">
        <v>0</v>
      </c>
      <c r="G38" s="59">
        <f t="shared" si="0"/>
        <v>0</v>
      </c>
      <c r="H38" s="115">
        <v>0</v>
      </c>
      <c r="I38" s="11">
        <v>0</v>
      </c>
      <c r="J38" s="59">
        <f t="shared" si="1"/>
        <v>0</v>
      </c>
      <c r="K38" s="115">
        <v>0</v>
      </c>
      <c r="L38" s="59">
        <v>0</v>
      </c>
      <c r="M38" s="98"/>
    </row>
    <row r="39" spans="2:13" ht="14.25">
      <c r="B39" s="131" t="s">
        <v>43</v>
      </c>
      <c r="C39" s="115">
        <v>0</v>
      </c>
      <c r="D39" s="11">
        <v>-2105</v>
      </c>
      <c r="E39" s="11">
        <v>-2105</v>
      </c>
      <c r="F39" s="11">
        <v>-2105</v>
      </c>
      <c r="G39" s="59">
        <f t="shared" si="0"/>
        <v>0</v>
      </c>
      <c r="H39" s="115">
        <v>0</v>
      </c>
      <c r="I39" s="11">
        <v>0</v>
      </c>
      <c r="J39" s="59">
        <f t="shared" si="1"/>
        <v>0</v>
      </c>
      <c r="K39" s="115">
        <v>0</v>
      </c>
      <c r="L39" s="59">
        <v>0</v>
      </c>
      <c r="M39" s="98"/>
    </row>
    <row r="40" spans="2:13" ht="14.25">
      <c r="B40" s="131" t="s">
        <v>64</v>
      </c>
      <c r="C40" s="115">
        <v>0</v>
      </c>
      <c r="D40" s="11">
        <v>0</v>
      </c>
      <c r="E40" s="11">
        <v>0</v>
      </c>
      <c r="F40" s="11">
        <v>0</v>
      </c>
      <c r="G40" s="59">
        <f t="shared" si="0"/>
        <v>0</v>
      </c>
      <c r="H40" s="115">
        <v>0</v>
      </c>
      <c r="I40" s="11">
        <v>0</v>
      </c>
      <c r="J40" s="59">
        <f t="shared" si="1"/>
        <v>0</v>
      </c>
      <c r="K40" s="115">
        <v>0</v>
      </c>
      <c r="L40" s="59">
        <v>0</v>
      </c>
      <c r="M40" s="98"/>
    </row>
    <row r="41" spans="2:13" ht="14.25">
      <c r="B41" s="263" t="s">
        <v>44</v>
      </c>
      <c r="C41" s="115">
        <f>-13134--4000+-2187+-3629+-2434--6067+-1000</f>
        <v>-12317</v>
      </c>
      <c r="D41" s="11">
        <v>-12257</v>
      </c>
      <c r="E41" s="11">
        <v>-12257</v>
      </c>
      <c r="F41" s="11">
        <f>-12257--2678</f>
        <v>-9579</v>
      </c>
      <c r="G41" s="59">
        <f t="shared" si="0"/>
        <v>2678</v>
      </c>
      <c r="H41" s="115">
        <f>-12300--4000+-2187+-6067--1000--4242+-1000</f>
        <v>-12312</v>
      </c>
      <c r="I41" s="11">
        <f>-12300--4000+-2187+-6067--1000--4242+-1000+-2603</f>
        <v>-14915</v>
      </c>
      <c r="J41" s="59">
        <f t="shared" si="1"/>
        <v>-2603</v>
      </c>
      <c r="K41" s="115">
        <f>-3639+-2187--4882+-4242+-400+-1000+-2306--1635</f>
        <v>-7257</v>
      </c>
      <c r="L41" s="59">
        <f>-3332+-600+-5743+-1000--2306</f>
        <v>-8369</v>
      </c>
      <c r="M41" s="98"/>
    </row>
    <row r="42" spans="2:13" ht="14.25">
      <c r="B42" s="293" t="s">
        <v>58</v>
      </c>
      <c r="C42" s="222">
        <v>0</v>
      </c>
      <c r="D42" s="215">
        <v>-150</v>
      </c>
      <c r="E42" s="215">
        <v>-150</v>
      </c>
      <c r="F42" s="215">
        <v>-150</v>
      </c>
      <c r="G42" s="216">
        <f t="shared" si="0"/>
        <v>0</v>
      </c>
      <c r="H42" s="222">
        <v>0</v>
      </c>
      <c r="I42" s="215">
        <v>0</v>
      </c>
      <c r="J42" s="216">
        <f t="shared" si="1"/>
        <v>0</v>
      </c>
      <c r="K42" s="222">
        <v>0</v>
      </c>
      <c r="L42" s="216">
        <v>0</v>
      </c>
      <c r="M42" s="98"/>
    </row>
    <row r="43" spans="2:12" ht="14.25">
      <c r="B43" s="260"/>
      <c r="C43" s="117"/>
      <c r="D43" s="219"/>
      <c r="E43" s="219"/>
      <c r="F43" s="219"/>
      <c r="G43" s="181"/>
      <c r="H43" s="117"/>
      <c r="I43" s="219"/>
      <c r="J43" s="181"/>
      <c r="K43" s="66"/>
      <c r="L43" s="63"/>
    </row>
    <row r="44" spans="1:12" s="39" customFormat="1" ht="15" thickBot="1">
      <c r="A44" s="92"/>
      <c r="B44" s="265" t="s">
        <v>9</v>
      </c>
      <c r="C44" s="227">
        <f aca="true" t="shared" si="2" ref="C44:L44">SUM(C12:C42)</f>
        <v>-43287</v>
      </c>
      <c r="D44" s="218">
        <f t="shared" si="2"/>
        <v>-58995</v>
      </c>
      <c r="E44" s="218">
        <f t="shared" si="2"/>
        <v>-63510</v>
      </c>
      <c r="F44" s="218">
        <f t="shared" si="2"/>
        <v>-58350</v>
      </c>
      <c r="G44" s="220">
        <f t="shared" si="2"/>
        <v>5160</v>
      </c>
      <c r="H44" s="227">
        <f t="shared" si="2"/>
        <v>-45048</v>
      </c>
      <c r="I44" s="218">
        <f>SUM(I12:I42)</f>
        <v>-49072</v>
      </c>
      <c r="J44" s="220">
        <f>SUM(J12:J42)</f>
        <v>-4024</v>
      </c>
      <c r="K44" s="227">
        <f t="shared" si="2"/>
        <v>-35093</v>
      </c>
      <c r="L44" s="239">
        <f t="shared" si="2"/>
        <v>-33620</v>
      </c>
    </row>
    <row r="45" spans="1:10" s="39" customFormat="1" ht="14.25">
      <c r="A45" s="92"/>
      <c r="B45" s="88"/>
      <c r="C45" s="76"/>
      <c r="D45" s="76"/>
      <c r="E45" s="76"/>
      <c r="F45" s="76"/>
      <c r="G45" s="76"/>
      <c r="H45" s="76"/>
      <c r="I45" s="76"/>
      <c r="J45" s="76"/>
    </row>
    <row r="46" spans="1:12" s="39" customFormat="1" ht="14.25">
      <c r="A46" s="92"/>
      <c r="B46" s="87"/>
      <c r="C46" s="76"/>
      <c r="D46" s="76"/>
      <c r="E46" s="76"/>
      <c r="F46" s="76"/>
      <c r="G46" s="76"/>
      <c r="H46" s="76"/>
      <c r="I46" s="76"/>
      <c r="J46" s="76"/>
      <c r="L46" s="93"/>
    </row>
    <row r="47" spans="1:11" s="39" customFormat="1" ht="18">
      <c r="A47" s="310" t="s">
        <v>190</v>
      </c>
      <c r="B47" s="310"/>
      <c r="C47" s="310"/>
      <c r="D47" s="310"/>
      <c r="E47" s="310"/>
      <c r="F47" s="310"/>
      <c r="G47" s="310"/>
      <c r="H47" s="310"/>
      <c r="I47" s="310"/>
      <c r="J47" s="310"/>
      <c r="K47" s="310"/>
    </row>
    <row r="48" spans="1:11" s="39" customFormat="1" ht="18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"/>
    </row>
    <row r="49" spans="1:11" s="39" customFormat="1" ht="18">
      <c r="A49" s="310" t="s">
        <v>185</v>
      </c>
      <c r="B49" s="310"/>
      <c r="C49" s="310"/>
      <c r="D49" s="310"/>
      <c r="E49" s="310"/>
      <c r="F49" s="310"/>
      <c r="G49" s="310"/>
      <c r="H49" s="310"/>
      <c r="I49" s="310"/>
      <c r="J49" s="310"/>
      <c r="K49" s="310"/>
    </row>
    <row r="50" spans="1:11" s="39" customFormat="1" ht="15" thickBot="1">
      <c r="A50" s="1"/>
      <c r="B50" s="1"/>
      <c r="C50" s="2"/>
      <c r="D50" s="2"/>
      <c r="E50" s="2"/>
      <c r="F50" s="2"/>
      <c r="G50" s="2"/>
      <c r="H50" s="1"/>
      <c r="I50" s="1"/>
      <c r="J50" s="1"/>
      <c r="K50" s="1"/>
    </row>
    <row r="51" spans="1:12" s="39" customFormat="1" ht="14.25">
      <c r="A51" s="1"/>
      <c r="B51" s="126"/>
      <c r="C51" s="283" t="s">
        <v>2</v>
      </c>
      <c r="D51" s="283" t="s">
        <v>2</v>
      </c>
      <c r="E51" s="284" t="s">
        <v>2</v>
      </c>
      <c r="F51" s="284" t="s">
        <v>2</v>
      </c>
      <c r="G51" s="285" t="s">
        <v>2</v>
      </c>
      <c r="H51" s="283" t="s">
        <v>37</v>
      </c>
      <c r="I51" s="284" t="s">
        <v>37</v>
      </c>
      <c r="J51" s="285" t="s">
        <v>37</v>
      </c>
      <c r="K51" s="49" t="s">
        <v>63</v>
      </c>
      <c r="L51" s="50" t="s">
        <v>226</v>
      </c>
    </row>
    <row r="52" spans="1:12" s="39" customFormat="1" ht="14.25">
      <c r="A52" s="1"/>
      <c r="B52" s="127"/>
      <c r="C52" s="109" t="s">
        <v>288</v>
      </c>
      <c r="D52" s="109" t="s">
        <v>42</v>
      </c>
      <c r="E52" s="19" t="s">
        <v>289</v>
      </c>
      <c r="F52" s="4" t="s">
        <v>293</v>
      </c>
      <c r="G52" s="53" t="s">
        <v>281</v>
      </c>
      <c r="H52" s="109" t="s">
        <v>174</v>
      </c>
      <c r="I52" s="4" t="s">
        <v>293</v>
      </c>
      <c r="J52" s="53" t="s">
        <v>281</v>
      </c>
      <c r="K52" s="4" t="s">
        <v>174</v>
      </c>
      <c r="L52" s="53" t="s">
        <v>174</v>
      </c>
    </row>
    <row r="53" spans="1:12" s="39" customFormat="1" ht="14.25">
      <c r="A53" s="1"/>
      <c r="B53" s="127" t="s">
        <v>3</v>
      </c>
      <c r="C53" s="109" t="s">
        <v>174</v>
      </c>
      <c r="D53" s="109" t="s">
        <v>174</v>
      </c>
      <c r="E53" s="4" t="s">
        <v>282</v>
      </c>
      <c r="F53" s="4" t="s">
        <v>279</v>
      </c>
      <c r="G53" s="53" t="s">
        <v>292</v>
      </c>
      <c r="H53" s="109" t="s">
        <v>175</v>
      </c>
      <c r="I53" s="4" t="s">
        <v>279</v>
      </c>
      <c r="J53" s="53" t="s">
        <v>292</v>
      </c>
      <c r="K53" s="4" t="s">
        <v>175</v>
      </c>
      <c r="L53" s="53" t="s">
        <v>175</v>
      </c>
    </row>
    <row r="54" spans="1:12" s="39" customFormat="1" ht="14.25">
      <c r="A54" s="1"/>
      <c r="B54" s="127"/>
      <c r="C54" s="109" t="s">
        <v>175</v>
      </c>
      <c r="D54" s="109" t="s">
        <v>175</v>
      </c>
      <c r="E54" s="4" t="s">
        <v>175</v>
      </c>
      <c r="F54" s="4" t="s">
        <v>280</v>
      </c>
      <c r="G54" s="53" t="s">
        <v>282</v>
      </c>
      <c r="H54" s="109" t="s">
        <v>291</v>
      </c>
      <c r="I54" s="4" t="s">
        <v>280</v>
      </c>
      <c r="J54" s="53" t="s">
        <v>282</v>
      </c>
      <c r="K54" s="4"/>
      <c r="L54" s="53"/>
    </row>
    <row r="55" spans="1:12" s="39" customFormat="1" ht="14.25">
      <c r="A55" s="1"/>
      <c r="B55" s="128"/>
      <c r="C55" s="110" t="s">
        <v>5</v>
      </c>
      <c r="D55" s="110" t="s">
        <v>5</v>
      </c>
      <c r="E55" s="5" t="s">
        <v>5</v>
      </c>
      <c r="F55" s="5" t="s">
        <v>5</v>
      </c>
      <c r="G55" s="55" t="s">
        <v>5</v>
      </c>
      <c r="H55" s="110" t="s">
        <v>5</v>
      </c>
      <c r="I55" s="5" t="s">
        <v>5</v>
      </c>
      <c r="J55" s="55" t="s">
        <v>5</v>
      </c>
      <c r="K55" s="5" t="s">
        <v>5</v>
      </c>
      <c r="L55" s="55" t="s">
        <v>5</v>
      </c>
    </row>
    <row r="56" spans="1:12" s="39" customFormat="1" ht="14.25">
      <c r="A56" s="1"/>
      <c r="B56" s="127"/>
      <c r="C56" s="225"/>
      <c r="D56" s="19"/>
      <c r="E56" s="19"/>
      <c r="F56" s="19"/>
      <c r="G56" s="79"/>
      <c r="H56" s="225"/>
      <c r="I56" s="19"/>
      <c r="J56" s="79"/>
      <c r="K56" s="19"/>
      <c r="L56" s="83"/>
    </row>
    <row r="57" spans="1:12" s="39" customFormat="1" ht="14.25">
      <c r="A57" s="1"/>
      <c r="B57" s="129" t="s">
        <v>39</v>
      </c>
      <c r="C57" s="116"/>
      <c r="D57" s="47"/>
      <c r="E57" s="47"/>
      <c r="F57" s="47"/>
      <c r="G57" s="89"/>
      <c r="H57" s="116"/>
      <c r="I57" s="47"/>
      <c r="J57" s="89"/>
      <c r="K57" s="47"/>
      <c r="L57" s="83"/>
    </row>
    <row r="58" spans="1:12" s="39" customFormat="1" ht="14.25">
      <c r="A58" s="1"/>
      <c r="B58" s="129" t="s">
        <v>30</v>
      </c>
      <c r="C58" s="116"/>
      <c r="D58" s="47"/>
      <c r="E58" s="47"/>
      <c r="F58" s="47"/>
      <c r="G58" s="89"/>
      <c r="H58" s="116"/>
      <c r="I58" s="47"/>
      <c r="J58" s="89"/>
      <c r="K58" s="47"/>
      <c r="L58" s="83"/>
    </row>
    <row r="59" spans="1:12" s="39" customFormat="1" ht="14.25">
      <c r="A59" s="1"/>
      <c r="B59" s="130" t="s">
        <v>47</v>
      </c>
      <c r="C59" s="113">
        <v>-6500</v>
      </c>
      <c r="D59" s="7">
        <v>-6500</v>
      </c>
      <c r="E59" s="7">
        <v>-6500</v>
      </c>
      <c r="F59" s="7">
        <v>-6500</v>
      </c>
      <c r="G59" s="57">
        <f>F59-E59</f>
        <v>0</v>
      </c>
      <c r="H59" s="113">
        <v>-6500</v>
      </c>
      <c r="I59" s="7">
        <v>-6500</v>
      </c>
      <c r="J59" s="57">
        <f>I59-H59</f>
        <v>0</v>
      </c>
      <c r="K59" s="7">
        <v>-6500</v>
      </c>
      <c r="L59" s="83">
        <v>-6500</v>
      </c>
    </row>
    <row r="60" spans="1:12" s="39" customFormat="1" ht="14.25">
      <c r="A60" s="1"/>
      <c r="B60" s="130" t="s">
        <v>54</v>
      </c>
      <c r="C60" s="113">
        <v>0</v>
      </c>
      <c r="D60" s="7">
        <v>-3455</v>
      </c>
      <c r="E60" s="7">
        <v>-3455</v>
      </c>
      <c r="F60" s="7">
        <v>-3455</v>
      </c>
      <c r="G60" s="57">
        <f>F60-E60</f>
        <v>0</v>
      </c>
      <c r="H60" s="113">
        <v>0</v>
      </c>
      <c r="I60" s="7">
        <v>0</v>
      </c>
      <c r="J60" s="57">
        <f>I60-H60</f>
        <v>0</v>
      </c>
      <c r="K60" s="7">
        <v>0</v>
      </c>
      <c r="L60" s="83">
        <v>0</v>
      </c>
    </row>
    <row r="61" spans="1:12" s="39" customFormat="1" ht="14.25">
      <c r="A61" s="1"/>
      <c r="B61" s="129" t="s">
        <v>31</v>
      </c>
      <c r="C61" s="113">
        <v>0</v>
      </c>
      <c r="D61" s="7">
        <v>0</v>
      </c>
      <c r="E61" s="7">
        <v>0</v>
      </c>
      <c r="F61" s="7">
        <v>0</v>
      </c>
      <c r="G61" s="57">
        <f>F61-E61</f>
        <v>0</v>
      </c>
      <c r="H61" s="113">
        <v>-11900</v>
      </c>
      <c r="I61" s="7">
        <v>-11900</v>
      </c>
      <c r="J61" s="57">
        <f>I61-H61</f>
        <v>0</v>
      </c>
      <c r="K61" s="7">
        <v>0</v>
      </c>
      <c r="L61" s="83">
        <v>0</v>
      </c>
    </row>
    <row r="62" spans="1:12" s="39" customFormat="1" ht="14.25">
      <c r="A62" s="1"/>
      <c r="B62" s="137"/>
      <c r="C62" s="62"/>
      <c r="D62" s="42"/>
      <c r="E62" s="42"/>
      <c r="F62" s="42"/>
      <c r="G62" s="84"/>
      <c r="H62" s="62"/>
      <c r="I62" s="42"/>
      <c r="J62" s="84"/>
      <c r="K62" s="42"/>
      <c r="L62" s="83"/>
    </row>
    <row r="63" spans="1:12" s="39" customFormat="1" ht="15" thickBot="1">
      <c r="A63" s="92"/>
      <c r="B63" s="265" t="s">
        <v>9</v>
      </c>
      <c r="C63" s="226">
        <f aca="true" t="shared" si="3" ref="C63:L63">SUM(C59:C61)</f>
        <v>-6500</v>
      </c>
      <c r="D63" s="86">
        <f t="shared" si="3"/>
        <v>-9955</v>
      </c>
      <c r="E63" s="86">
        <f t="shared" si="3"/>
        <v>-9955</v>
      </c>
      <c r="F63" s="86">
        <f t="shared" si="3"/>
        <v>-9955</v>
      </c>
      <c r="G63" s="217">
        <f t="shared" si="3"/>
        <v>0</v>
      </c>
      <c r="H63" s="226">
        <f t="shared" si="3"/>
        <v>-18400</v>
      </c>
      <c r="I63" s="86">
        <f t="shared" si="3"/>
        <v>-18400</v>
      </c>
      <c r="J63" s="217">
        <f t="shared" si="3"/>
        <v>0</v>
      </c>
      <c r="K63" s="86">
        <f t="shared" si="3"/>
        <v>-6500</v>
      </c>
      <c r="L63" s="217">
        <f t="shared" si="3"/>
        <v>-6500</v>
      </c>
    </row>
    <row r="64" spans="1:10" s="39" customFormat="1" ht="14.25">
      <c r="A64" s="92"/>
      <c r="B64" s="88"/>
      <c r="C64" s="76"/>
      <c r="D64" s="76"/>
      <c r="E64" s="76"/>
      <c r="F64" s="76"/>
      <c r="G64" s="76"/>
      <c r="H64" s="76"/>
      <c r="I64" s="76"/>
      <c r="J64" s="76"/>
    </row>
    <row r="65" spans="1:10" s="39" customFormat="1" ht="14.25">
      <c r="A65" s="92"/>
      <c r="B65" s="87"/>
      <c r="C65" s="76"/>
      <c r="D65" s="76"/>
      <c r="E65" s="76"/>
      <c r="F65" s="76"/>
      <c r="G65" s="76"/>
      <c r="H65" s="76"/>
      <c r="I65" s="76"/>
      <c r="J65" s="76"/>
    </row>
    <row r="66" spans="1:10" s="39" customFormat="1" ht="14.25">
      <c r="A66" s="92"/>
      <c r="B66" s="235"/>
      <c r="C66" s="76"/>
      <c r="D66" s="76"/>
      <c r="E66" s="76"/>
      <c r="F66" s="76"/>
      <c r="G66" s="76"/>
      <c r="H66" s="76"/>
      <c r="I66" s="76"/>
      <c r="J66" s="76"/>
    </row>
    <row r="67" spans="1:10" s="39" customFormat="1" ht="14.25">
      <c r="A67" s="92"/>
      <c r="B67" s="236"/>
      <c r="C67" s="78"/>
      <c r="D67" s="78"/>
      <c r="E67" s="78"/>
      <c r="F67" s="78"/>
      <c r="G67" s="78"/>
      <c r="H67" s="78"/>
      <c r="I67" s="78"/>
      <c r="J67" s="78"/>
    </row>
    <row r="68" spans="1:10" s="39" customFormat="1" ht="14.25">
      <c r="A68" s="92"/>
      <c r="B68" s="78"/>
      <c r="C68" s="78"/>
      <c r="D68" s="78"/>
      <c r="E68" s="78"/>
      <c r="F68" s="78"/>
      <c r="G68" s="78"/>
      <c r="H68" s="78"/>
      <c r="I68" s="78"/>
      <c r="J68" s="78"/>
    </row>
    <row r="69" spans="2:10" ht="14.25">
      <c r="B69" s="235"/>
      <c r="C69" s="99"/>
      <c r="D69" s="99"/>
      <c r="E69" s="99"/>
      <c r="F69" s="99"/>
      <c r="G69" s="99"/>
      <c r="H69" s="98"/>
      <c r="I69" s="98"/>
      <c r="J69" s="98"/>
    </row>
    <row r="70" spans="3:10" ht="14.25">
      <c r="C70" s="99"/>
      <c r="D70" s="99"/>
      <c r="E70" s="99"/>
      <c r="F70" s="99"/>
      <c r="G70" s="99"/>
      <c r="H70" s="98"/>
      <c r="I70" s="98"/>
      <c r="J70" s="98"/>
    </row>
    <row r="71" spans="1:12" ht="14.25" customHeight="1">
      <c r="A71" s="98"/>
      <c r="B71" s="237"/>
      <c r="C71" s="100"/>
      <c r="D71" s="100"/>
      <c r="E71" s="100"/>
      <c r="F71" s="100"/>
      <c r="G71" s="100"/>
      <c r="H71" s="100"/>
      <c r="I71" s="100"/>
      <c r="J71" s="100"/>
      <c r="K71" s="29"/>
      <c r="L71" s="29"/>
    </row>
    <row r="72" spans="1:12" ht="14.25" customHeight="1">
      <c r="A72" s="98"/>
      <c r="B72" s="237"/>
      <c r="C72" s="100"/>
      <c r="D72" s="100"/>
      <c r="E72" s="100"/>
      <c r="F72" s="100"/>
      <c r="G72" s="100"/>
      <c r="H72" s="100"/>
      <c r="I72" s="100"/>
      <c r="J72" s="100"/>
      <c r="K72" s="29"/>
      <c r="L72" s="29"/>
    </row>
    <row r="73" spans="1:12" ht="15">
      <c r="A73" s="101"/>
      <c r="B73" s="102"/>
      <c r="C73" s="103"/>
      <c r="D73" s="103"/>
      <c r="E73" s="103"/>
      <c r="F73" s="103"/>
      <c r="G73" s="103"/>
      <c r="H73" s="103"/>
      <c r="I73" s="103"/>
      <c r="J73" s="103"/>
      <c r="K73" s="31"/>
      <c r="L73" s="31"/>
    </row>
    <row r="74" spans="1:10" ht="14.25">
      <c r="A74" s="99"/>
      <c r="B74" s="98"/>
      <c r="C74" s="99"/>
      <c r="D74" s="99"/>
      <c r="E74" s="99"/>
      <c r="F74" s="99"/>
      <c r="G74" s="99"/>
      <c r="H74" s="98"/>
      <c r="I74" s="98"/>
      <c r="J74" s="98"/>
    </row>
    <row r="75" spans="1:10" ht="14.25">
      <c r="A75" s="98"/>
      <c r="B75" s="98"/>
      <c r="C75" s="99"/>
      <c r="D75" s="99"/>
      <c r="E75" s="99"/>
      <c r="F75" s="99"/>
      <c r="G75" s="99"/>
      <c r="H75" s="98"/>
      <c r="I75" s="98"/>
      <c r="J75" s="98"/>
    </row>
    <row r="76" spans="1:10" ht="14.25">
      <c r="A76" s="98"/>
      <c r="B76" s="98"/>
      <c r="C76" s="99"/>
      <c r="D76" s="99"/>
      <c r="E76" s="99"/>
      <c r="F76" s="99"/>
      <c r="G76" s="99"/>
      <c r="H76" s="98"/>
      <c r="I76" s="98"/>
      <c r="J76" s="98"/>
    </row>
    <row r="77" spans="1:10" ht="14.25">
      <c r="A77" s="98"/>
      <c r="B77" s="98"/>
      <c r="C77" s="99"/>
      <c r="D77" s="99"/>
      <c r="E77" s="99"/>
      <c r="F77" s="99"/>
      <c r="G77" s="99"/>
      <c r="H77" s="98"/>
      <c r="I77" s="98"/>
      <c r="J77" s="98"/>
    </row>
    <row r="78" spans="1:10" ht="14.25">
      <c r="A78" s="98"/>
      <c r="B78" s="98"/>
      <c r="C78" s="99"/>
      <c r="D78" s="99"/>
      <c r="E78" s="99"/>
      <c r="F78" s="99"/>
      <c r="G78" s="99"/>
      <c r="H78" s="98"/>
      <c r="I78" s="98"/>
      <c r="J78" s="98"/>
    </row>
    <row r="79" spans="1:10" ht="14.25">
      <c r="A79" s="98"/>
      <c r="B79" s="98"/>
      <c r="C79" s="99"/>
      <c r="D79" s="99"/>
      <c r="E79" s="99"/>
      <c r="F79" s="99"/>
      <c r="G79" s="99"/>
      <c r="H79" s="98"/>
      <c r="I79" s="98"/>
      <c r="J79" s="98"/>
    </row>
    <row r="80" spans="1:10" ht="14.25">
      <c r="A80" s="98"/>
      <c r="B80" s="98"/>
      <c r="C80" s="99"/>
      <c r="D80" s="99"/>
      <c r="E80" s="99"/>
      <c r="F80" s="99"/>
      <c r="G80" s="99"/>
      <c r="H80" s="98"/>
      <c r="I80" s="98"/>
      <c r="J80" s="98"/>
    </row>
    <row r="81" spans="1:10" ht="14.25">
      <c r="A81" s="98"/>
      <c r="B81" s="98"/>
      <c r="C81" s="99"/>
      <c r="D81" s="99"/>
      <c r="E81" s="99"/>
      <c r="F81" s="99"/>
      <c r="G81" s="99"/>
      <c r="H81" s="98"/>
      <c r="I81" s="98"/>
      <c r="J81" s="98"/>
    </row>
    <row r="82" spans="1:10" ht="14.25">
      <c r="A82" s="98"/>
      <c r="B82" s="98"/>
      <c r="C82" s="99"/>
      <c r="D82" s="99"/>
      <c r="E82" s="99"/>
      <c r="F82" s="99"/>
      <c r="G82" s="99"/>
      <c r="H82" s="98"/>
      <c r="I82" s="98"/>
      <c r="J82" s="98"/>
    </row>
    <row r="83" spans="1:10" ht="14.25">
      <c r="A83" s="98"/>
      <c r="B83" s="98"/>
      <c r="C83" s="99"/>
      <c r="D83" s="99"/>
      <c r="E83" s="99"/>
      <c r="F83" s="99"/>
      <c r="G83" s="99"/>
      <c r="H83" s="98"/>
      <c r="I83" s="98"/>
      <c r="J83" s="98"/>
    </row>
    <row r="84" spans="1:10" ht="14.25">
      <c r="A84" s="98"/>
      <c r="B84" s="104"/>
      <c r="C84" s="99"/>
      <c r="D84" s="99"/>
      <c r="E84" s="99"/>
      <c r="F84" s="99"/>
      <c r="G84" s="99"/>
      <c r="H84" s="98"/>
      <c r="I84" s="98"/>
      <c r="J84" s="98"/>
    </row>
    <row r="85" spans="1:10" ht="15">
      <c r="A85" s="98"/>
      <c r="B85" s="105"/>
      <c r="C85" s="99"/>
      <c r="D85" s="99"/>
      <c r="E85" s="99"/>
      <c r="F85" s="99"/>
      <c r="G85" s="99"/>
      <c r="H85" s="98"/>
      <c r="I85" s="98"/>
      <c r="J85" s="98"/>
    </row>
    <row r="86" spans="1:10" ht="14.25">
      <c r="A86" s="98"/>
      <c r="B86" s="98"/>
      <c r="C86" s="99"/>
      <c r="D86" s="99"/>
      <c r="E86" s="99"/>
      <c r="F86" s="99"/>
      <c r="G86" s="99"/>
      <c r="H86" s="98"/>
      <c r="I86" s="98"/>
      <c r="J86" s="98"/>
    </row>
    <row r="87" spans="1:10" ht="14.25">
      <c r="A87" s="98"/>
      <c r="B87" s="98"/>
      <c r="C87" s="99"/>
      <c r="D87" s="99"/>
      <c r="E87" s="99"/>
      <c r="F87" s="99"/>
      <c r="G87" s="99"/>
      <c r="H87" s="98"/>
      <c r="I87" s="98"/>
      <c r="J87" s="98"/>
    </row>
    <row r="88" spans="1:10" ht="14.25">
      <c r="A88" s="98"/>
      <c r="B88" s="98"/>
      <c r="C88" s="99"/>
      <c r="D88" s="99"/>
      <c r="E88" s="99"/>
      <c r="F88" s="99"/>
      <c r="G88" s="99"/>
      <c r="H88" s="98"/>
      <c r="I88" s="98"/>
      <c r="J88" s="98"/>
    </row>
    <row r="89" spans="1:10" ht="14.25">
      <c r="A89" s="98"/>
      <c r="B89" s="98"/>
      <c r="C89" s="99"/>
      <c r="D89" s="99"/>
      <c r="E89" s="99"/>
      <c r="F89" s="99"/>
      <c r="G89" s="99"/>
      <c r="H89" s="98"/>
      <c r="I89" s="98"/>
      <c r="J89" s="98"/>
    </row>
    <row r="90" spans="1:10" ht="14.25">
      <c r="A90" s="98"/>
      <c r="B90" s="98"/>
      <c r="C90" s="99"/>
      <c r="D90" s="99"/>
      <c r="E90" s="99"/>
      <c r="F90" s="99"/>
      <c r="G90" s="99"/>
      <c r="H90" s="98"/>
      <c r="I90" s="98"/>
      <c r="J90" s="98"/>
    </row>
    <row r="91" spans="1:10" ht="14.25">
      <c r="A91" s="98"/>
      <c r="B91" s="98"/>
      <c r="C91" s="99"/>
      <c r="D91" s="99"/>
      <c r="E91" s="99"/>
      <c r="F91" s="99"/>
      <c r="G91" s="99"/>
      <c r="H91" s="98"/>
      <c r="I91" s="98"/>
      <c r="J91" s="98"/>
    </row>
    <row r="92" spans="1:10" ht="14.25">
      <c r="A92" s="98"/>
      <c r="B92" s="98"/>
      <c r="C92" s="99"/>
      <c r="D92" s="99"/>
      <c r="E92" s="99"/>
      <c r="F92" s="99"/>
      <c r="G92" s="99"/>
      <c r="H92" s="98"/>
      <c r="I92" s="98"/>
      <c r="J92" s="98"/>
    </row>
    <row r="93" spans="1:10" ht="14.25">
      <c r="A93" s="98"/>
      <c r="B93" s="98"/>
      <c r="C93" s="99"/>
      <c r="D93" s="99"/>
      <c r="E93" s="99"/>
      <c r="F93" s="99"/>
      <c r="G93" s="99"/>
      <c r="H93" s="98"/>
      <c r="I93" s="98"/>
      <c r="J93" s="98"/>
    </row>
    <row r="94" spans="1:10" ht="14.25">
      <c r="A94" s="98"/>
      <c r="B94" s="98"/>
      <c r="C94" s="99"/>
      <c r="D94" s="99"/>
      <c r="E94" s="99"/>
      <c r="F94" s="99"/>
      <c r="G94" s="99"/>
      <c r="H94" s="98"/>
      <c r="I94" s="98"/>
      <c r="J94" s="98"/>
    </row>
    <row r="95" spans="1:10" ht="14.25">
      <c r="A95" s="98"/>
      <c r="B95" s="98"/>
      <c r="C95" s="99"/>
      <c r="D95" s="99"/>
      <c r="E95" s="99"/>
      <c r="F95" s="99"/>
      <c r="G95" s="99"/>
      <c r="H95" s="98"/>
      <c r="I95" s="98"/>
      <c r="J95" s="98"/>
    </row>
    <row r="96" spans="1:10" ht="14.25">
      <c r="A96" s="98"/>
      <c r="B96" s="98"/>
      <c r="C96" s="99"/>
      <c r="D96" s="99"/>
      <c r="E96" s="99"/>
      <c r="F96" s="99"/>
      <c r="G96" s="99"/>
      <c r="H96" s="98"/>
      <c r="I96" s="98"/>
      <c r="J96" s="98"/>
    </row>
    <row r="97" spans="1:10" ht="14.25">
      <c r="A97" s="98"/>
      <c r="B97" s="98"/>
      <c r="C97" s="99"/>
      <c r="D97" s="99"/>
      <c r="E97" s="99"/>
      <c r="F97" s="99"/>
      <c r="G97" s="99"/>
      <c r="H97" s="98"/>
      <c r="I97" s="98"/>
      <c r="J97" s="98"/>
    </row>
    <row r="98" spans="1:10" ht="14.25">
      <c r="A98" s="98"/>
      <c r="B98" s="98"/>
      <c r="C98" s="99"/>
      <c r="D98" s="99"/>
      <c r="E98" s="99"/>
      <c r="F98" s="99"/>
      <c r="G98" s="99"/>
      <c r="H98" s="98"/>
      <c r="I98" s="98"/>
      <c r="J98" s="98"/>
    </row>
    <row r="99" spans="1:10" ht="14.25">
      <c r="A99" s="98"/>
      <c r="B99" s="98"/>
      <c r="C99" s="99"/>
      <c r="D99" s="99"/>
      <c r="E99" s="99"/>
      <c r="F99" s="99"/>
      <c r="G99" s="99"/>
      <c r="H99" s="98"/>
      <c r="I99" s="98"/>
      <c r="J99" s="98"/>
    </row>
    <row r="100" spans="1:10" ht="14.25">
      <c r="A100" s="98"/>
      <c r="B100" s="98"/>
      <c r="C100" s="99"/>
      <c r="D100" s="99"/>
      <c r="E100" s="99"/>
      <c r="F100" s="99"/>
      <c r="G100" s="99"/>
      <c r="H100" s="98"/>
      <c r="I100" s="98"/>
      <c r="J100" s="98"/>
    </row>
    <row r="101" spans="1:10" ht="14.25">
      <c r="A101" s="98"/>
      <c r="B101" s="98"/>
      <c r="C101" s="99"/>
      <c r="D101" s="99"/>
      <c r="E101" s="99"/>
      <c r="F101" s="99"/>
      <c r="G101" s="99"/>
      <c r="H101" s="98"/>
      <c r="I101" s="98"/>
      <c r="J101" s="98"/>
    </row>
    <row r="102" spans="1:10" ht="14.25">
      <c r="A102" s="98"/>
      <c r="B102" s="98"/>
      <c r="C102" s="99"/>
      <c r="D102" s="99"/>
      <c r="E102" s="99"/>
      <c r="F102" s="99"/>
      <c r="G102" s="99"/>
      <c r="H102" s="98"/>
      <c r="I102" s="98"/>
      <c r="J102" s="98"/>
    </row>
    <row r="103" spans="1:10" ht="14.25">
      <c r="A103" s="98"/>
      <c r="B103" s="98"/>
      <c r="C103" s="99"/>
      <c r="D103" s="99"/>
      <c r="E103" s="99"/>
      <c r="F103" s="99"/>
      <c r="G103" s="99"/>
      <c r="H103" s="98"/>
      <c r="I103" s="98"/>
      <c r="J103" s="98"/>
    </row>
    <row r="104" spans="1:10" ht="14.25">
      <c r="A104" s="98"/>
      <c r="B104" s="98"/>
      <c r="C104" s="99"/>
      <c r="D104" s="99"/>
      <c r="E104" s="99"/>
      <c r="F104" s="99"/>
      <c r="G104" s="99"/>
      <c r="H104" s="98"/>
      <c r="I104" s="98"/>
      <c r="J104" s="98"/>
    </row>
    <row r="105" spans="1:10" ht="14.25">
      <c r="A105" s="98"/>
      <c r="B105" s="98"/>
      <c r="C105" s="99"/>
      <c r="D105" s="99"/>
      <c r="E105" s="99"/>
      <c r="F105" s="99"/>
      <c r="G105" s="99"/>
      <c r="H105" s="98"/>
      <c r="I105" s="98"/>
      <c r="J105" s="98"/>
    </row>
    <row r="106" spans="1:10" ht="14.25">
      <c r="A106" s="98"/>
      <c r="B106" s="98"/>
      <c r="C106" s="99"/>
      <c r="D106" s="99"/>
      <c r="E106" s="99"/>
      <c r="F106" s="99"/>
      <c r="G106" s="99"/>
      <c r="H106" s="98"/>
      <c r="I106" s="98"/>
      <c r="J106" s="98"/>
    </row>
    <row r="107" spans="1:10" ht="14.25">
      <c r="A107" s="98"/>
      <c r="B107" s="98"/>
      <c r="C107" s="99"/>
      <c r="D107" s="99"/>
      <c r="E107" s="99"/>
      <c r="F107" s="99"/>
      <c r="G107" s="99"/>
      <c r="H107" s="98"/>
      <c r="I107" s="98"/>
      <c r="J107" s="98"/>
    </row>
    <row r="108" spans="1:10" ht="14.25">
      <c r="A108" s="98"/>
      <c r="B108" s="98"/>
      <c r="C108" s="99"/>
      <c r="D108" s="99"/>
      <c r="E108" s="99"/>
      <c r="F108" s="99"/>
      <c r="G108" s="99"/>
      <c r="H108" s="98"/>
      <c r="I108" s="98"/>
      <c r="J108" s="98"/>
    </row>
    <row r="109" spans="1:10" ht="14.25">
      <c r="A109" s="98"/>
      <c r="B109" s="98"/>
      <c r="C109" s="99"/>
      <c r="D109" s="99"/>
      <c r="E109" s="99"/>
      <c r="F109" s="99"/>
      <c r="G109" s="99"/>
      <c r="H109" s="98"/>
      <c r="I109" s="98"/>
      <c r="J109" s="98"/>
    </row>
    <row r="110" spans="1:10" ht="14.25">
      <c r="A110" s="98"/>
      <c r="B110" s="98"/>
      <c r="C110" s="99"/>
      <c r="D110" s="99"/>
      <c r="E110" s="99"/>
      <c r="F110" s="99"/>
      <c r="G110" s="99"/>
      <c r="H110" s="98"/>
      <c r="I110" s="98"/>
      <c r="J110" s="98"/>
    </row>
    <row r="111" spans="1:10" ht="14.25">
      <c r="A111" s="98"/>
      <c r="B111" s="98"/>
      <c r="C111" s="99"/>
      <c r="D111" s="99"/>
      <c r="E111" s="99"/>
      <c r="F111" s="99"/>
      <c r="G111" s="99"/>
      <c r="H111" s="98"/>
      <c r="I111" s="98"/>
      <c r="J111" s="98"/>
    </row>
    <row r="112" spans="1:10" ht="14.25">
      <c r="A112" s="98"/>
      <c r="B112" s="98"/>
      <c r="C112" s="99"/>
      <c r="D112" s="99"/>
      <c r="E112" s="99"/>
      <c r="F112" s="99"/>
      <c r="G112" s="99"/>
      <c r="H112" s="98"/>
      <c r="I112" s="98"/>
      <c r="J112" s="98"/>
    </row>
    <row r="113" spans="1:10" ht="14.25">
      <c r="A113" s="98"/>
      <c r="B113" s="98"/>
      <c r="C113" s="99"/>
      <c r="D113" s="99"/>
      <c r="E113" s="99"/>
      <c r="F113" s="99"/>
      <c r="G113" s="99"/>
      <c r="H113" s="98"/>
      <c r="I113" s="98"/>
      <c r="J113" s="98"/>
    </row>
    <row r="114" spans="1:10" ht="14.25">
      <c r="A114" s="98"/>
      <c r="B114" s="98"/>
      <c r="C114" s="99"/>
      <c r="D114" s="99"/>
      <c r="E114" s="99"/>
      <c r="F114" s="99"/>
      <c r="G114" s="99"/>
      <c r="H114" s="98"/>
      <c r="I114" s="98"/>
      <c r="J114" s="98"/>
    </row>
    <row r="115" spans="1:10" ht="14.25">
      <c r="A115" s="98"/>
      <c r="B115" s="98"/>
      <c r="C115" s="99"/>
      <c r="D115" s="99"/>
      <c r="E115" s="99"/>
      <c r="F115" s="99"/>
      <c r="G115" s="99"/>
      <c r="H115" s="98"/>
      <c r="I115" s="98"/>
      <c r="J115" s="98"/>
    </row>
    <row r="116" spans="1:10" ht="14.25">
      <c r="A116" s="98"/>
      <c r="B116" s="98"/>
      <c r="C116" s="99"/>
      <c r="D116" s="99"/>
      <c r="E116" s="99"/>
      <c r="F116" s="99"/>
      <c r="G116" s="99"/>
      <c r="H116" s="98"/>
      <c r="I116" s="98"/>
      <c r="J116" s="98"/>
    </row>
    <row r="117" spans="1:10" ht="14.25">
      <c r="A117" s="98"/>
      <c r="B117" s="98"/>
      <c r="C117" s="99"/>
      <c r="D117" s="99"/>
      <c r="E117" s="99"/>
      <c r="F117" s="99"/>
      <c r="G117" s="99"/>
      <c r="H117" s="98"/>
      <c r="I117" s="98"/>
      <c r="J117" s="98"/>
    </row>
    <row r="118" spans="1:10" ht="14.25">
      <c r="A118" s="98"/>
      <c r="B118" s="98"/>
      <c r="C118" s="99"/>
      <c r="D118" s="99"/>
      <c r="E118" s="99"/>
      <c r="F118" s="99"/>
      <c r="G118" s="99"/>
      <c r="H118" s="98"/>
      <c r="I118" s="98"/>
      <c r="J118" s="98"/>
    </row>
    <row r="119" spans="1:10" ht="14.25">
      <c r="A119" s="98"/>
      <c r="B119" s="98"/>
      <c r="C119" s="99"/>
      <c r="D119" s="99"/>
      <c r="E119" s="99"/>
      <c r="F119" s="99"/>
      <c r="G119" s="99"/>
      <c r="H119" s="98"/>
      <c r="I119" s="98"/>
      <c r="J119" s="98"/>
    </row>
    <row r="120" spans="1:10" ht="14.25">
      <c r="A120" s="98"/>
      <c r="B120" s="98"/>
      <c r="C120" s="99"/>
      <c r="D120" s="99"/>
      <c r="E120" s="99"/>
      <c r="F120" s="99"/>
      <c r="G120" s="99"/>
      <c r="H120" s="98"/>
      <c r="I120" s="98"/>
      <c r="J120" s="98"/>
    </row>
    <row r="121" spans="1:10" ht="14.25">
      <c r="A121" s="98"/>
      <c r="B121" s="98"/>
      <c r="C121" s="99"/>
      <c r="D121" s="99"/>
      <c r="E121" s="99"/>
      <c r="F121" s="99"/>
      <c r="G121" s="99"/>
      <c r="H121" s="98"/>
      <c r="I121" s="98"/>
      <c r="J121" s="98"/>
    </row>
    <row r="122" spans="1:10" ht="14.25">
      <c r="A122" s="98"/>
      <c r="B122" s="98"/>
      <c r="C122" s="99"/>
      <c r="D122" s="99"/>
      <c r="E122" s="99"/>
      <c r="F122" s="99"/>
      <c r="G122" s="99"/>
      <c r="H122" s="98"/>
      <c r="I122" s="98"/>
      <c r="J122" s="98"/>
    </row>
    <row r="123" spans="1:10" ht="14.25">
      <c r="A123" s="98"/>
      <c r="B123" s="98"/>
      <c r="C123" s="99"/>
      <c r="D123" s="99"/>
      <c r="E123" s="99"/>
      <c r="F123" s="99"/>
      <c r="G123" s="99"/>
      <c r="H123" s="98"/>
      <c r="I123" s="98"/>
      <c r="J123" s="98"/>
    </row>
    <row r="124" spans="1:10" ht="14.25">
      <c r="A124" s="98"/>
      <c r="B124" s="98"/>
      <c r="C124" s="99"/>
      <c r="D124" s="99"/>
      <c r="E124" s="99"/>
      <c r="F124" s="99"/>
      <c r="G124" s="99"/>
      <c r="H124" s="98"/>
      <c r="I124" s="98"/>
      <c r="J124" s="98"/>
    </row>
    <row r="125" spans="1:10" ht="14.25">
      <c r="A125" s="98"/>
      <c r="B125" s="98"/>
      <c r="C125" s="99"/>
      <c r="D125" s="99"/>
      <c r="E125" s="99"/>
      <c r="F125" s="99"/>
      <c r="G125" s="99"/>
      <c r="H125" s="98"/>
      <c r="I125" s="98"/>
      <c r="J125" s="98"/>
    </row>
    <row r="126" spans="1:10" ht="14.25">
      <c r="A126" s="98"/>
      <c r="B126" s="98"/>
      <c r="C126" s="99"/>
      <c r="D126" s="99"/>
      <c r="E126" s="99"/>
      <c r="F126" s="99"/>
      <c r="G126" s="99"/>
      <c r="H126" s="98"/>
      <c r="I126" s="98"/>
      <c r="J126" s="98"/>
    </row>
    <row r="127" spans="1:10" ht="14.25">
      <c r="A127" s="98"/>
      <c r="B127" s="98"/>
      <c r="C127" s="99"/>
      <c r="D127" s="99"/>
      <c r="E127" s="99"/>
      <c r="F127" s="99"/>
      <c r="G127" s="99"/>
      <c r="H127" s="98"/>
      <c r="I127" s="98"/>
      <c r="J127" s="98"/>
    </row>
    <row r="128" spans="1:10" ht="14.25">
      <c r="A128" s="98"/>
      <c r="B128" s="98"/>
      <c r="C128" s="99"/>
      <c r="D128" s="99"/>
      <c r="E128" s="99"/>
      <c r="F128" s="99"/>
      <c r="G128" s="99"/>
      <c r="H128" s="98"/>
      <c r="I128" s="98"/>
      <c r="J128" s="98"/>
    </row>
    <row r="129" spans="1:10" ht="14.25">
      <c r="A129" s="98"/>
      <c r="B129" s="98"/>
      <c r="C129" s="99"/>
      <c r="D129" s="99"/>
      <c r="E129" s="99"/>
      <c r="F129" s="99"/>
      <c r="G129" s="99"/>
      <c r="H129" s="98"/>
      <c r="I129" s="98"/>
      <c r="J129" s="98"/>
    </row>
    <row r="130" spans="1:10" ht="14.25">
      <c r="A130" s="98"/>
      <c r="B130" s="98"/>
      <c r="C130" s="99"/>
      <c r="D130" s="99"/>
      <c r="E130" s="99"/>
      <c r="F130" s="99"/>
      <c r="G130" s="99"/>
      <c r="H130" s="98"/>
      <c r="I130" s="98"/>
      <c r="J130" s="98"/>
    </row>
    <row r="131" spans="1:10" ht="14.25">
      <c r="A131" s="98"/>
      <c r="B131" s="98"/>
      <c r="C131" s="99"/>
      <c r="D131" s="99"/>
      <c r="E131" s="99"/>
      <c r="F131" s="99"/>
      <c r="G131" s="99"/>
      <c r="H131" s="98"/>
      <c r="I131" s="98"/>
      <c r="J131" s="98"/>
    </row>
    <row r="132" spans="1:10" ht="14.25">
      <c r="A132" s="98"/>
      <c r="B132" s="98"/>
      <c r="C132" s="99"/>
      <c r="D132" s="99"/>
      <c r="E132" s="99"/>
      <c r="F132" s="99"/>
      <c r="G132" s="99"/>
      <c r="H132" s="98"/>
      <c r="I132" s="98"/>
      <c r="J132" s="98"/>
    </row>
    <row r="133" spans="1:10" ht="14.25">
      <c r="A133" s="98"/>
      <c r="B133" s="98"/>
      <c r="C133" s="99"/>
      <c r="D133" s="99"/>
      <c r="E133" s="99"/>
      <c r="F133" s="99"/>
      <c r="G133" s="99"/>
      <c r="H133" s="98"/>
      <c r="I133" s="98"/>
      <c r="J133" s="98"/>
    </row>
    <row r="134" spans="1:10" ht="14.25">
      <c r="A134" s="98"/>
      <c r="B134" s="98"/>
      <c r="C134" s="99"/>
      <c r="D134" s="99"/>
      <c r="E134" s="99"/>
      <c r="F134" s="99"/>
      <c r="G134" s="99"/>
      <c r="H134" s="98"/>
      <c r="I134" s="98"/>
      <c r="J134" s="98"/>
    </row>
    <row r="135" spans="1:10" ht="14.25">
      <c r="A135" s="98"/>
      <c r="B135" s="98"/>
      <c r="C135" s="99"/>
      <c r="D135" s="99"/>
      <c r="E135" s="99"/>
      <c r="F135" s="99"/>
      <c r="G135" s="99"/>
      <c r="H135" s="98"/>
      <c r="I135" s="98"/>
      <c r="J135" s="98"/>
    </row>
    <row r="136" spans="1:10" ht="14.25">
      <c r="A136" s="98"/>
      <c r="B136" s="98"/>
      <c r="C136" s="99"/>
      <c r="D136" s="99"/>
      <c r="E136" s="99"/>
      <c r="F136" s="99"/>
      <c r="G136" s="99"/>
      <c r="H136" s="98"/>
      <c r="I136" s="98"/>
      <c r="J136" s="98"/>
    </row>
    <row r="137" spans="1:10" ht="14.25">
      <c r="A137" s="98"/>
      <c r="B137" s="98"/>
      <c r="C137" s="99"/>
      <c r="D137" s="99"/>
      <c r="E137" s="99"/>
      <c r="F137" s="99"/>
      <c r="G137" s="99"/>
      <c r="H137" s="98"/>
      <c r="I137" s="98"/>
      <c r="J137" s="98"/>
    </row>
    <row r="138" spans="1:10" ht="14.25">
      <c r="A138" s="98"/>
      <c r="B138" s="98"/>
      <c r="C138" s="99"/>
      <c r="D138" s="99"/>
      <c r="E138" s="99"/>
      <c r="F138" s="99"/>
      <c r="G138" s="99"/>
      <c r="H138" s="98"/>
      <c r="I138" s="98"/>
      <c r="J138" s="98"/>
    </row>
    <row r="139" spans="1:10" ht="14.25">
      <c r="A139" s="98"/>
      <c r="B139" s="98"/>
      <c r="C139" s="99"/>
      <c r="D139" s="99"/>
      <c r="E139" s="99"/>
      <c r="F139" s="99"/>
      <c r="G139" s="99"/>
      <c r="H139" s="98"/>
      <c r="I139" s="98"/>
      <c r="J139" s="98"/>
    </row>
    <row r="140" spans="1:10" ht="14.25">
      <c r="A140" s="98"/>
      <c r="B140" s="98"/>
      <c r="C140" s="99"/>
      <c r="D140" s="99"/>
      <c r="E140" s="99"/>
      <c r="F140" s="99"/>
      <c r="G140" s="99"/>
      <c r="H140" s="98"/>
      <c r="I140" s="98"/>
      <c r="J140" s="98"/>
    </row>
    <row r="141" spans="1:10" ht="14.25">
      <c r="A141" s="98"/>
      <c r="B141" s="98"/>
      <c r="C141" s="99"/>
      <c r="D141" s="99"/>
      <c r="E141" s="99"/>
      <c r="F141" s="99"/>
      <c r="G141" s="99"/>
      <c r="H141" s="98"/>
      <c r="I141" s="98"/>
      <c r="J141" s="98"/>
    </row>
    <row r="142" spans="1:10" ht="14.25">
      <c r="A142" s="98"/>
      <c r="B142" s="98"/>
      <c r="C142" s="99"/>
      <c r="D142" s="99"/>
      <c r="E142" s="99"/>
      <c r="F142" s="99"/>
      <c r="G142" s="99"/>
      <c r="H142" s="98"/>
      <c r="I142" s="98"/>
      <c r="J142" s="98"/>
    </row>
    <row r="143" spans="1:10" ht="14.25">
      <c r="A143" s="98"/>
      <c r="B143" s="98"/>
      <c r="C143" s="99"/>
      <c r="D143" s="99"/>
      <c r="E143" s="99"/>
      <c r="F143" s="99"/>
      <c r="G143" s="99"/>
      <c r="H143" s="98"/>
      <c r="I143" s="98"/>
      <c r="J143" s="98"/>
    </row>
    <row r="144" spans="1:10" ht="14.25">
      <c r="A144" s="98"/>
      <c r="B144" s="98"/>
      <c r="C144" s="99"/>
      <c r="D144" s="99"/>
      <c r="E144" s="99"/>
      <c r="F144" s="99"/>
      <c r="G144" s="99"/>
      <c r="H144" s="98"/>
      <c r="I144" s="98"/>
      <c r="J144" s="98"/>
    </row>
    <row r="145" spans="1:10" ht="14.25">
      <c r="A145" s="98"/>
      <c r="B145" s="98"/>
      <c r="C145" s="99"/>
      <c r="D145" s="99"/>
      <c r="E145" s="99"/>
      <c r="F145" s="99"/>
      <c r="G145" s="99"/>
      <c r="H145" s="98"/>
      <c r="I145" s="98"/>
      <c r="J145" s="98"/>
    </row>
    <row r="146" spans="1:10" ht="14.25">
      <c r="A146" s="98"/>
      <c r="B146" s="98"/>
      <c r="C146" s="99"/>
      <c r="D146" s="99"/>
      <c r="E146" s="99"/>
      <c r="F146" s="99"/>
      <c r="G146" s="99"/>
      <c r="H146" s="98"/>
      <c r="I146" s="98"/>
      <c r="J146" s="98"/>
    </row>
    <row r="147" spans="1:10" ht="14.25">
      <c r="A147" s="98"/>
      <c r="B147" s="98"/>
      <c r="C147" s="99"/>
      <c r="D147" s="99"/>
      <c r="E147" s="99"/>
      <c r="F147" s="99"/>
      <c r="G147" s="99"/>
      <c r="H147" s="98"/>
      <c r="I147" s="98"/>
      <c r="J147" s="98"/>
    </row>
    <row r="148" spans="1:10" ht="14.25">
      <c r="A148" s="98"/>
      <c r="B148" s="98"/>
      <c r="C148" s="99"/>
      <c r="D148" s="99"/>
      <c r="E148" s="99"/>
      <c r="F148" s="99"/>
      <c r="G148" s="99"/>
      <c r="H148" s="98"/>
      <c r="I148" s="98"/>
      <c r="J148" s="98"/>
    </row>
    <row r="149" spans="1:10" ht="14.25">
      <c r="A149" s="98"/>
      <c r="B149" s="98"/>
      <c r="C149" s="99"/>
      <c r="D149" s="99"/>
      <c r="E149" s="99"/>
      <c r="F149" s="99"/>
      <c r="G149" s="99"/>
      <c r="H149" s="98"/>
      <c r="I149" s="98"/>
      <c r="J149" s="98"/>
    </row>
    <row r="150" spans="1:10" ht="14.25">
      <c r="A150" s="98"/>
      <c r="B150" s="98"/>
      <c r="C150" s="99"/>
      <c r="D150" s="99"/>
      <c r="E150" s="99"/>
      <c r="F150" s="99"/>
      <c r="G150" s="99"/>
      <c r="H150" s="98"/>
      <c r="I150" s="98"/>
      <c r="J150" s="98"/>
    </row>
    <row r="151" spans="1:10" ht="14.25">
      <c r="A151" s="98"/>
      <c r="B151" s="98"/>
      <c r="C151" s="99"/>
      <c r="D151" s="99"/>
      <c r="E151" s="99"/>
      <c r="F151" s="99"/>
      <c r="G151" s="99"/>
      <c r="H151" s="98"/>
      <c r="I151" s="98"/>
      <c r="J151" s="98"/>
    </row>
    <row r="152" spans="1:10" ht="14.25">
      <c r="A152" s="98"/>
      <c r="B152" s="98"/>
      <c r="C152" s="99"/>
      <c r="D152" s="99"/>
      <c r="E152" s="99"/>
      <c r="F152" s="99"/>
      <c r="G152" s="99"/>
      <c r="H152" s="98"/>
      <c r="I152" s="98"/>
      <c r="J152" s="98"/>
    </row>
    <row r="153" spans="1:10" ht="14.25">
      <c r="A153" s="98"/>
      <c r="B153" s="98"/>
      <c r="C153" s="99"/>
      <c r="D153" s="99"/>
      <c r="E153" s="99"/>
      <c r="F153" s="99"/>
      <c r="G153" s="99"/>
      <c r="H153" s="98"/>
      <c r="I153" s="98"/>
      <c r="J153" s="98"/>
    </row>
    <row r="154" spans="1:10" ht="14.25">
      <c r="A154" s="98"/>
      <c r="B154" s="98"/>
      <c r="C154" s="99"/>
      <c r="D154" s="99"/>
      <c r="E154" s="99"/>
      <c r="F154" s="99"/>
      <c r="G154" s="99"/>
      <c r="H154" s="98"/>
      <c r="I154" s="98"/>
      <c r="J154" s="98"/>
    </row>
    <row r="155" spans="1:10" ht="14.25">
      <c r="A155" s="98"/>
      <c r="B155" s="98"/>
      <c r="C155" s="99"/>
      <c r="D155" s="99"/>
      <c r="E155" s="99"/>
      <c r="F155" s="99"/>
      <c r="G155" s="99"/>
      <c r="H155" s="98"/>
      <c r="I155" s="98"/>
      <c r="J155" s="98"/>
    </row>
    <row r="156" spans="1:10" ht="14.25">
      <c r="A156" s="98"/>
      <c r="B156" s="98"/>
      <c r="C156" s="99"/>
      <c r="D156" s="99"/>
      <c r="E156" s="99"/>
      <c r="F156" s="99"/>
      <c r="G156" s="99"/>
      <c r="H156" s="98"/>
      <c r="I156" s="98"/>
      <c r="J156" s="98"/>
    </row>
    <row r="157" spans="1:10" ht="14.25">
      <c r="A157" s="98"/>
      <c r="B157" s="98"/>
      <c r="C157" s="99"/>
      <c r="D157" s="99"/>
      <c r="E157" s="99"/>
      <c r="F157" s="99"/>
      <c r="G157" s="99"/>
      <c r="H157" s="98"/>
      <c r="I157" s="98"/>
      <c r="J157" s="98"/>
    </row>
    <row r="158" spans="1:10" ht="14.25">
      <c r="A158" s="98"/>
      <c r="B158" s="98"/>
      <c r="C158" s="99"/>
      <c r="D158" s="99"/>
      <c r="E158" s="99"/>
      <c r="F158" s="99"/>
      <c r="G158" s="99"/>
      <c r="H158" s="98"/>
      <c r="I158" s="98"/>
      <c r="J158" s="98"/>
    </row>
    <row r="159" spans="1:10" ht="14.25">
      <c r="A159" s="98"/>
      <c r="B159" s="98"/>
      <c r="C159" s="99"/>
      <c r="D159" s="99"/>
      <c r="E159" s="99"/>
      <c r="F159" s="99"/>
      <c r="G159" s="99"/>
      <c r="H159" s="98"/>
      <c r="I159" s="98"/>
      <c r="J159" s="98"/>
    </row>
    <row r="160" spans="1:10" ht="14.25">
      <c r="A160" s="98"/>
      <c r="B160" s="98"/>
      <c r="C160" s="99"/>
      <c r="D160" s="99"/>
      <c r="E160" s="99"/>
      <c r="F160" s="99"/>
      <c r="G160" s="99"/>
      <c r="H160" s="98"/>
      <c r="I160" s="98"/>
      <c r="J160" s="98"/>
    </row>
    <row r="161" spans="1:10" ht="14.25">
      <c r="A161" s="98"/>
      <c r="B161" s="98"/>
      <c r="C161" s="99"/>
      <c r="D161" s="99"/>
      <c r="E161" s="99"/>
      <c r="F161" s="99"/>
      <c r="G161" s="99"/>
      <c r="H161" s="98"/>
      <c r="I161" s="98"/>
      <c r="J161" s="98"/>
    </row>
    <row r="162" spans="1:10" ht="14.25">
      <c r="A162" s="98"/>
      <c r="B162" s="98"/>
      <c r="C162" s="99"/>
      <c r="D162" s="99"/>
      <c r="E162" s="99"/>
      <c r="F162" s="99"/>
      <c r="G162" s="99"/>
      <c r="H162" s="98"/>
      <c r="I162" s="98"/>
      <c r="J162" s="98"/>
    </row>
    <row r="163" spans="1:10" ht="14.25">
      <c r="A163" s="98"/>
      <c r="B163" s="98"/>
      <c r="C163" s="99"/>
      <c r="D163" s="99"/>
      <c r="E163" s="99"/>
      <c r="F163" s="99"/>
      <c r="G163" s="99"/>
      <c r="H163" s="98"/>
      <c r="I163" s="98"/>
      <c r="J163" s="98"/>
    </row>
    <row r="164" spans="1:10" ht="14.25">
      <c r="A164" s="98"/>
      <c r="B164" s="98"/>
      <c r="C164" s="99"/>
      <c r="D164" s="99"/>
      <c r="E164" s="99"/>
      <c r="F164" s="99"/>
      <c r="G164" s="99"/>
      <c r="H164" s="98"/>
      <c r="I164" s="98"/>
      <c r="J164" s="98"/>
    </row>
    <row r="165" spans="1:10" ht="14.25">
      <c r="A165" s="98"/>
      <c r="B165" s="98"/>
      <c r="C165" s="99"/>
      <c r="D165" s="99"/>
      <c r="E165" s="99"/>
      <c r="F165" s="99"/>
      <c r="G165" s="99"/>
      <c r="H165" s="98"/>
      <c r="I165" s="98"/>
      <c r="J165" s="98"/>
    </row>
    <row r="166" spans="1:10" ht="14.25">
      <c r="A166" s="98"/>
      <c r="B166" s="98"/>
      <c r="C166" s="99"/>
      <c r="D166" s="99"/>
      <c r="E166" s="99"/>
      <c r="F166" s="99"/>
      <c r="G166" s="99"/>
      <c r="H166" s="98"/>
      <c r="I166" s="98"/>
      <c r="J166" s="98"/>
    </row>
    <row r="167" spans="1:10" ht="14.25">
      <c r="A167" s="98"/>
      <c r="B167" s="98"/>
      <c r="C167" s="99"/>
      <c r="D167" s="99"/>
      <c r="E167" s="99"/>
      <c r="F167" s="99"/>
      <c r="G167" s="99"/>
      <c r="H167" s="98"/>
      <c r="I167" s="98"/>
      <c r="J167" s="98"/>
    </row>
    <row r="168" spans="1:10" ht="14.25">
      <c r="A168" s="98"/>
      <c r="B168" s="98"/>
      <c r="C168" s="99"/>
      <c r="D168" s="99"/>
      <c r="E168" s="99"/>
      <c r="F168" s="99"/>
      <c r="G168" s="99"/>
      <c r="H168" s="98"/>
      <c r="I168" s="98"/>
      <c r="J168" s="98"/>
    </row>
    <row r="169" spans="1:10" ht="14.25">
      <c r="A169" s="98"/>
      <c r="B169" s="98"/>
      <c r="C169" s="99"/>
      <c r="D169" s="99"/>
      <c r="E169" s="99"/>
      <c r="F169" s="99"/>
      <c r="G169" s="99"/>
      <c r="H169" s="98"/>
      <c r="I169" s="98"/>
      <c r="J169" s="98"/>
    </row>
    <row r="170" spans="1:10" ht="14.25">
      <c r="A170" s="98"/>
      <c r="B170" s="98"/>
      <c r="C170" s="99"/>
      <c r="D170" s="99"/>
      <c r="E170" s="99"/>
      <c r="F170" s="99"/>
      <c r="G170" s="99"/>
      <c r="H170" s="98"/>
      <c r="I170" s="98"/>
      <c r="J170" s="98"/>
    </row>
    <row r="171" spans="1:10" ht="14.25">
      <c r="A171" s="98"/>
      <c r="B171" s="98"/>
      <c r="C171" s="99"/>
      <c r="D171" s="99"/>
      <c r="E171" s="99"/>
      <c r="F171" s="99"/>
      <c r="G171" s="99"/>
      <c r="H171" s="98"/>
      <c r="I171" s="98"/>
      <c r="J171" s="98"/>
    </row>
    <row r="172" spans="1:10" ht="14.25">
      <c r="A172" s="98"/>
      <c r="B172" s="98"/>
      <c r="C172" s="99"/>
      <c r="D172" s="99"/>
      <c r="E172" s="99"/>
      <c r="F172" s="99"/>
      <c r="G172" s="99"/>
      <c r="H172" s="98"/>
      <c r="I172" s="98"/>
      <c r="J172" s="98"/>
    </row>
    <row r="173" spans="1:10" ht="14.25">
      <c r="A173" s="98"/>
      <c r="B173" s="98"/>
      <c r="C173" s="99"/>
      <c r="D173" s="99"/>
      <c r="E173" s="99"/>
      <c r="F173" s="99"/>
      <c r="G173" s="99"/>
      <c r="H173" s="98"/>
      <c r="I173" s="98"/>
      <c r="J173" s="98"/>
    </row>
    <row r="174" spans="1:10" ht="14.25">
      <c r="A174" s="98"/>
      <c r="B174" s="98"/>
      <c r="C174" s="99"/>
      <c r="D174" s="99"/>
      <c r="E174" s="99"/>
      <c r="F174" s="99"/>
      <c r="G174" s="99"/>
      <c r="H174" s="98"/>
      <c r="I174" s="98"/>
      <c r="J174" s="98"/>
    </row>
    <row r="175" spans="1:10" ht="14.25">
      <c r="A175" s="98"/>
      <c r="B175" s="98"/>
      <c r="C175" s="99"/>
      <c r="D175" s="99"/>
      <c r="E175" s="99"/>
      <c r="F175" s="99"/>
      <c r="G175" s="99"/>
      <c r="H175" s="98"/>
      <c r="I175" s="98"/>
      <c r="J175" s="98"/>
    </row>
    <row r="176" spans="1:10" ht="14.25">
      <c r="A176" s="98"/>
      <c r="B176" s="98"/>
      <c r="C176" s="99"/>
      <c r="D176" s="99"/>
      <c r="E176" s="99"/>
      <c r="F176" s="99"/>
      <c r="G176" s="99"/>
      <c r="H176" s="98"/>
      <c r="I176" s="98"/>
      <c r="J176" s="98"/>
    </row>
    <row r="177" spans="1:10" ht="14.25">
      <c r="A177" s="98"/>
      <c r="B177" s="98"/>
      <c r="C177" s="99"/>
      <c r="D177" s="99"/>
      <c r="E177" s="99"/>
      <c r="F177" s="99"/>
      <c r="G177" s="99"/>
      <c r="H177" s="98"/>
      <c r="I177" s="98"/>
      <c r="J177" s="98"/>
    </row>
    <row r="178" spans="1:10" ht="14.25">
      <c r="A178" s="98"/>
      <c r="B178" s="98"/>
      <c r="C178" s="99"/>
      <c r="D178" s="99"/>
      <c r="E178" s="99"/>
      <c r="F178" s="99"/>
      <c r="G178" s="99"/>
      <c r="H178" s="98"/>
      <c r="I178" s="98"/>
      <c r="J178" s="98"/>
    </row>
    <row r="179" spans="1:10" ht="14.25">
      <c r="A179" s="98"/>
      <c r="B179" s="98"/>
      <c r="C179" s="99"/>
      <c r="D179" s="99"/>
      <c r="E179" s="99"/>
      <c r="F179" s="99"/>
      <c r="G179" s="99"/>
      <c r="H179" s="98"/>
      <c r="I179" s="98"/>
      <c r="J179" s="98"/>
    </row>
    <row r="180" spans="1:10" ht="14.25">
      <c r="A180" s="98"/>
      <c r="B180" s="98"/>
      <c r="C180" s="99"/>
      <c r="D180" s="99"/>
      <c r="E180" s="99"/>
      <c r="F180" s="99"/>
      <c r="G180" s="99"/>
      <c r="H180" s="98"/>
      <c r="I180" s="98"/>
      <c r="J180" s="98"/>
    </row>
    <row r="181" spans="1:10" ht="14.25">
      <c r="A181" s="98"/>
      <c r="B181" s="98"/>
      <c r="C181" s="99"/>
      <c r="D181" s="99"/>
      <c r="E181" s="99"/>
      <c r="F181" s="99"/>
      <c r="G181" s="99"/>
      <c r="H181" s="98"/>
      <c r="I181" s="98"/>
      <c r="J181" s="98"/>
    </row>
    <row r="182" spans="1:10" ht="14.25">
      <c r="A182" s="98"/>
      <c r="B182" s="98"/>
      <c r="C182" s="99"/>
      <c r="D182" s="99"/>
      <c r="E182" s="99"/>
      <c r="F182" s="99"/>
      <c r="G182" s="99"/>
      <c r="H182" s="98"/>
      <c r="I182" s="98"/>
      <c r="J182" s="98"/>
    </row>
    <row r="183" spans="1:10" ht="14.25">
      <c r="A183" s="98"/>
      <c r="B183" s="98"/>
      <c r="C183" s="99"/>
      <c r="D183" s="99"/>
      <c r="E183" s="99"/>
      <c r="F183" s="99"/>
      <c r="G183" s="99"/>
      <c r="H183" s="98"/>
      <c r="I183" s="98"/>
      <c r="J183" s="98"/>
    </row>
    <row r="184" spans="1:10" ht="14.25">
      <c r="A184" s="98"/>
      <c r="B184" s="98"/>
      <c r="C184" s="99"/>
      <c r="D184" s="99"/>
      <c r="E184" s="99"/>
      <c r="F184" s="99"/>
      <c r="G184" s="99"/>
      <c r="H184" s="98"/>
      <c r="I184" s="98"/>
      <c r="J184" s="98"/>
    </row>
    <row r="185" spans="1:10" ht="14.25">
      <c r="A185" s="98"/>
      <c r="B185" s="98"/>
      <c r="C185" s="99"/>
      <c r="D185" s="99"/>
      <c r="E185" s="99"/>
      <c r="F185" s="99"/>
      <c r="G185" s="99"/>
      <c r="H185" s="98"/>
      <c r="I185" s="98"/>
      <c r="J185" s="98"/>
    </row>
    <row r="186" spans="1:10" ht="14.25">
      <c r="A186" s="98"/>
      <c r="B186" s="98"/>
      <c r="C186" s="99"/>
      <c r="D186" s="99"/>
      <c r="E186" s="99"/>
      <c r="F186" s="99"/>
      <c r="G186" s="99"/>
      <c r="H186" s="98"/>
      <c r="I186" s="98"/>
      <c r="J186" s="98"/>
    </row>
    <row r="187" spans="1:10" ht="14.25">
      <c r="A187" s="98"/>
      <c r="B187" s="98"/>
      <c r="C187" s="99"/>
      <c r="D187" s="99"/>
      <c r="E187" s="99"/>
      <c r="F187" s="99"/>
      <c r="G187" s="99"/>
      <c r="H187" s="98"/>
      <c r="I187" s="98"/>
      <c r="J187" s="98"/>
    </row>
    <row r="188" spans="1:10" ht="14.25">
      <c r="A188" s="98"/>
      <c r="B188" s="98"/>
      <c r="C188" s="99"/>
      <c r="D188" s="99"/>
      <c r="E188" s="99"/>
      <c r="F188" s="99"/>
      <c r="G188" s="99"/>
      <c r="H188" s="98"/>
      <c r="I188" s="98"/>
      <c r="J188" s="98"/>
    </row>
    <row r="189" spans="1:10" ht="14.25">
      <c r="A189" s="98"/>
      <c r="B189" s="98"/>
      <c r="C189" s="99"/>
      <c r="D189" s="99"/>
      <c r="E189" s="99"/>
      <c r="F189" s="99"/>
      <c r="G189" s="99"/>
      <c r="H189" s="98"/>
      <c r="I189" s="98"/>
      <c r="J189" s="98"/>
    </row>
    <row r="190" spans="1:10" ht="14.25">
      <c r="A190" s="98"/>
      <c r="B190" s="98"/>
      <c r="C190" s="99"/>
      <c r="D190" s="99"/>
      <c r="E190" s="99"/>
      <c r="F190" s="99"/>
      <c r="G190" s="99"/>
      <c r="H190" s="98"/>
      <c r="I190" s="98"/>
      <c r="J190" s="98"/>
    </row>
    <row r="191" spans="1:10" ht="14.25">
      <c r="A191" s="98"/>
      <c r="B191" s="98"/>
      <c r="C191" s="99"/>
      <c r="D191" s="99"/>
      <c r="E191" s="99"/>
      <c r="F191" s="99"/>
      <c r="G191" s="99"/>
      <c r="H191" s="98"/>
      <c r="I191" s="98"/>
      <c r="J191" s="98"/>
    </row>
    <row r="192" spans="1:10" ht="14.25">
      <c r="A192" s="98"/>
      <c r="B192" s="98"/>
      <c r="C192" s="99"/>
      <c r="D192" s="99"/>
      <c r="E192" s="99"/>
      <c r="F192" s="99"/>
      <c r="G192" s="99"/>
      <c r="H192" s="98"/>
      <c r="I192" s="98"/>
      <c r="J192" s="98"/>
    </row>
    <row r="193" spans="1:10" ht="14.25">
      <c r="A193" s="98"/>
      <c r="B193" s="98"/>
      <c r="C193" s="99"/>
      <c r="D193" s="99"/>
      <c r="E193" s="99"/>
      <c r="F193" s="99"/>
      <c r="G193" s="99"/>
      <c r="H193" s="98"/>
      <c r="I193" s="98"/>
      <c r="J193" s="98"/>
    </row>
    <row r="194" spans="1:10" ht="14.25">
      <c r="A194" s="98"/>
      <c r="B194" s="98"/>
      <c r="C194" s="99"/>
      <c r="D194" s="99"/>
      <c r="E194" s="99"/>
      <c r="F194" s="99"/>
      <c r="G194" s="99"/>
      <c r="H194" s="98"/>
      <c r="I194" s="98"/>
      <c r="J194" s="98"/>
    </row>
    <row r="195" spans="1:10" ht="14.25">
      <c r="A195" s="98"/>
      <c r="B195" s="98"/>
      <c r="C195" s="99"/>
      <c r="D195" s="99"/>
      <c r="E195" s="99"/>
      <c r="F195" s="99"/>
      <c r="G195" s="99"/>
      <c r="H195" s="98"/>
      <c r="I195" s="98"/>
      <c r="J195" s="98"/>
    </row>
    <row r="196" spans="1:10" ht="14.25">
      <c r="A196" s="98"/>
      <c r="B196" s="98"/>
      <c r="C196" s="99"/>
      <c r="D196" s="99"/>
      <c r="E196" s="99"/>
      <c r="F196" s="99"/>
      <c r="G196" s="99"/>
      <c r="H196" s="98"/>
      <c r="I196" s="98"/>
      <c r="J196" s="98"/>
    </row>
    <row r="197" spans="1:10" ht="14.25">
      <c r="A197" s="98"/>
      <c r="B197" s="98"/>
      <c r="C197" s="99"/>
      <c r="D197" s="99"/>
      <c r="E197" s="99"/>
      <c r="F197" s="99"/>
      <c r="G197" s="99"/>
      <c r="H197" s="98"/>
      <c r="I197" s="98"/>
      <c r="J197" s="98"/>
    </row>
    <row r="198" spans="1:10" ht="14.25">
      <c r="A198" s="98"/>
      <c r="B198" s="98"/>
      <c r="C198" s="99"/>
      <c r="D198" s="99"/>
      <c r="E198" s="99"/>
      <c r="F198" s="99"/>
      <c r="G198" s="99"/>
      <c r="H198" s="98"/>
      <c r="I198" s="98"/>
      <c r="J198" s="98"/>
    </row>
    <row r="199" spans="1:10" ht="14.25">
      <c r="A199" s="98"/>
      <c r="B199" s="98"/>
      <c r="C199" s="99"/>
      <c r="D199" s="99"/>
      <c r="E199" s="99"/>
      <c r="F199" s="99"/>
      <c r="G199" s="99"/>
      <c r="H199" s="98"/>
      <c r="I199" s="98"/>
      <c r="J199" s="98"/>
    </row>
    <row r="200" spans="1:10" ht="14.25">
      <c r="A200" s="98"/>
      <c r="B200" s="98"/>
      <c r="C200" s="99"/>
      <c r="D200" s="99"/>
      <c r="E200" s="99"/>
      <c r="F200" s="99"/>
      <c r="G200" s="99"/>
      <c r="H200" s="98"/>
      <c r="I200" s="98"/>
      <c r="J200" s="98"/>
    </row>
    <row r="201" spans="1:10" ht="14.25">
      <c r="A201" s="98"/>
      <c r="B201" s="98"/>
      <c r="C201" s="99"/>
      <c r="D201" s="99"/>
      <c r="E201" s="99"/>
      <c r="F201" s="99"/>
      <c r="G201" s="99"/>
      <c r="H201" s="98"/>
      <c r="I201" s="98"/>
      <c r="J201" s="98"/>
    </row>
    <row r="202" spans="1:10" ht="14.25">
      <c r="A202" s="98"/>
      <c r="B202" s="98"/>
      <c r="C202" s="99"/>
      <c r="D202" s="99"/>
      <c r="E202" s="99"/>
      <c r="F202" s="99"/>
      <c r="G202" s="99"/>
      <c r="H202" s="98"/>
      <c r="I202" s="98"/>
      <c r="J202" s="98"/>
    </row>
    <row r="203" spans="1:10" ht="14.25">
      <c r="A203" s="98"/>
      <c r="B203" s="98"/>
      <c r="C203" s="99"/>
      <c r="D203" s="99"/>
      <c r="E203" s="99"/>
      <c r="F203" s="99"/>
      <c r="G203" s="99"/>
      <c r="H203" s="98"/>
      <c r="I203" s="98"/>
      <c r="J203" s="98"/>
    </row>
    <row r="204" spans="1:10" ht="14.25">
      <c r="A204" s="98"/>
      <c r="B204" s="98"/>
      <c r="C204" s="99"/>
      <c r="D204" s="99"/>
      <c r="E204" s="99"/>
      <c r="F204" s="99"/>
      <c r="G204" s="99"/>
      <c r="H204" s="98"/>
      <c r="I204" s="98"/>
      <c r="J204" s="98"/>
    </row>
    <row r="205" spans="1:10" ht="14.25">
      <c r="A205" s="98"/>
      <c r="B205" s="98"/>
      <c r="C205" s="99"/>
      <c r="D205" s="99"/>
      <c r="E205" s="99"/>
      <c r="F205" s="99"/>
      <c r="G205" s="99"/>
      <c r="H205" s="98"/>
      <c r="I205" s="98"/>
      <c r="J205" s="98"/>
    </row>
    <row r="206" spans="1:10" ht="14.25">
      <c r="A206" s="98"/>
      <c r="B206" s="98"/>
      <c r="C206" s="99"/>
      <c r="D206" s="99"/>
      <c r="E206" s="99"/>
      <c r="F206" s="99"/>
      <c r="G206" s="99"/>
      <c r="H206" s="98"/>
      <c r="I206" s="98"/>
      <c r="J206" s="98"/>
    </row>
    <row r="207" spans="1:10" ht="14.25">
      <c r="A207" s="98"/>
      <c r="B207" s="98"/>
      <c r="C207" s="99"/>
      <c r="D207" s="99"/>
      <c r="E207" s="99"/>
      <c r="F207" s="99"/>
      <c r="G207" s="99"/>
      <c r="H207" s="98"/>
      <c r="I207" s="98"/>
      <c r="J207" s="98"/>
    </row>
    <row r="208" spans="1:10" ht="14.25">
      <c r="A208" s="98"/>
      <c r="B208" s="98"/>
      <c r="C208" s="99"/>
      <c r="D208" s="99"/>
      <c r="E208" s="99"/>
      <c r="F208" s="99"/>
      <c r="G208" s="99"/>
      <c r="H208" s="98"/>
      <c r="I208" s="98"/>
      <c r="J208" s="98"/>
    </row>
    <row r="209" spans="1:10" ht="14.25">
      <c r="A209" s="98"/>
      <c r="B209" s="98"/>
      <c r="C209" s="99"/>
      <c r="D209" s="99"/>
      <c r="E209" s="99"/>
      <c r="F209" s="99"/>
      <c r="G209" s="99"/>
      <c r="H209" s="98"/>
      <c r="I209" s="98"/>
      <c r="J209" s="98"/>
    </row>
    <row r="210" spans="1:10" ht="14.25">
      <c r="A210" s="98"/>
      <c r="B210" s="98"/>
      <c r="C210" s="99"/>
      <c r="D210" s="99"/>
      <c r="E210" s="99"/>
      <c r="F210" s="99"/>
      <c r="G210" s="99"/>
      <c r="H210" s="98"/>
      <c r="I210" s="98"/>
      <c r="J210" s="98"/>
    </row>
    <row r="211" spans="1:10" ht="14.25">
      <c r="A211" s="98"/>
      <c r="B211" s="98"/>
      <c r="C211" s="99"/>
      <c r="D211" s="99"/>
      <c r="E211" s="99"/>
      <c r="F211" s="99"/>
      <c r="G211" s="99"/>
      <c r="H211" s="98"/>
      <c r="I211" s="98"/>
      <c r="J211" s="98"/>
    </row>
    <row r="212" spans="1:10" ht="14.25">
      <c r="A212" s="98"/>
      <c r="B212" s="98"/>
      <c r="C212" s="99"/>
      <c r="D212" s="99"/>
      <c r="E212" s="99"/>
      <c r="F212" s="99"/>
      <c r="G212" s="99"/>
      <c r="H212" s="98"/>
      <c r="I212" s="98"/>
      <c r="J212" s="98"/>
    </row>
    <row r="213" spans="1:10" ht="14.25">
      <c r="A213" s="98"/>
      <c r="B213" s="98"/>
      <c r="C213" s="99"/>
      <c r="D213" s="99"/>
      <c r="E213" s="99"/>
      <c r="F213" s="99"/>
      <c r="G213" s="99"/>
      <c r="H213" s="98"/>
      <c r="I213" s="98"/>
      <c r="J213" s="98"/>
    </row>
    <row r="214" spans="1:10" ht="14.25">
      <c r="A214" s="98"/>
      <c r="B214" s="98"/>
      <c r="C214" s="99"/>
      <c r="D214" s="99"/>
      <c r="E214" s="99"/>
      <c r="F214" s="99"/>
      <c r="G214" s="99"/>
      <c r="H214" s="98"/>
      <c r="I214" s="98"/>
      <c r="J214" s="98"/>
    </row>
    <row r="215" spans="1:10" ht="14.25">
      <c r="A215" s="98"/>
      <c r="B215" s="98"/>
      <c r="C215" s="99"/>
      <c r="D215" s="99"/>
      <c r="E215" s="99"/>
      <c r="F215" s="99"/>
      <c r="G215" s="99"/>
      <c r="H215" s="98"/>
      <c r="I215" s="98"/>
      <c r="J215" s="98"/>
    </row>
    <row r="216" spans="1:10" ht="14.25">
      <c r="A216" s="98"/>
      <c r="B216" s="98"/>
      <c r="C216" s="99"/>
      <c r="D216" s="99"/>
      <c r="E216" s="99"/>
      <c r="F216" s="99"/>
      <c r="G216" s="99"/>
      <c r="H216" s="98"/>
      <c r="I216" s="98"/>
      <c r="J216" s="98"/>
    </row>
    <row r="217" spans="1:10" ht="14.25">
      <c r="A217" s="98"/>
      <c r="B217" s="98"/>
      <c r="C217" s="99"/>
      <c r="D217" s="99"/>
      <c r="E217" s="99"/>
      <c r="F217" s="99"/>
      <c r="G217" s="99"/>
      <c r="H217" s="98"/>
      <c r="I217" s="98"/>
      <c r="J217" s="98"/>
    </row>
    <row r="218" spans="1:10" ht="14.25">
      <c r="A218" s="98"/>
      <c r="B218" s="98"/>
      <c r="C218" s="99"/>
      <c r="D218" s="99"/>
      <c r="E218" s="99"/>
      <c r="F218" s="99"/>
      <c r="G218" s="99"/>
      <c r="H218" s="98"/>
      <c r="I218" s="98"/>
      <c r="J218" s="98"/>
    </row>
    <row r="219" spans="1:10" ht="14.25">
      <c r="A219" s="98"/>
      <c r="B219" s="98"/>
      <c r="C219" s="99"/>
      <c r="D219" s="99"/>
      <c r="E219" s="99"/>
      <c r="F219" s="99"/>
      <c r="G219" s="99"/>
      <c r="H219" s="98"/>
      <c r="I219" s="98"/>
      <c r="J219" s="98"/>
    </row>
    <row r="220" spans="1:10" ht="14.25">
      <c r="A220" s="98"/>
      <c r="B220" s="98"/>
      <c r="C220" s="99"/>
      <c r="D220" s="99"/>
      <c r="E220" s="99"/>
      <c r="F220" s="99"/>
      <c r="G220" s="99"/>
      <c r="H220" s="98"/>
      <c r="I220" s="98"/>
      <c r="J220" s="98"/>
    </row>
    <row r="221" spans="1:10" ht="14.25">
      <c r="A221" s="98"/>
      <c r="B221" s="98"/>
      <c r="C221" s="99"/>
      <c r="D221" s="99"/>
      <c r="E221" s="99"/>
      <c r="F221" s="99"/>
      <c r="G221" s="99"/>
      <c r="H221" s="98"/>
      <c r="I221" s="98"/>
      <c r="J221" s="98"/>
    </row>
    <row r="222" spans="1:10" ht="14.25">
      <c r="A222" s="98"/>
      <c r="B222" s="98"/>
      <c r="C222" s="99"/>
      <c r="D222" s="99"/>
      <c r="E222" s="99"/>
      <c r="F222" s="99"/>
      <c r="G222" s="99"/>
      <c r="H222" s="98"/>
      <c r="I222" s="98"/>
      <c r="J222" s="98"/>
    </row>
    <row r="223" spans="1:10" ht="14.25">
      <c r="A223" s="98"/>
      <c r="B223" s="98"/>
      <c r="C223" s="99"/>
      <c r="D223" s="99"/>
      <c r="E223" s="99"/>
      <c r="F223" s="99"/>
      <c r="G223" s="99"/>
      <c r="H223" s="98"/>
      <c r="I223" s="98"/>
      <c r="J223" s="98"/>
    </row>
    <row r="224" spans="1:10" ht="14.25">
      <c r="A224" s="98"/>
      <c r="B224" s="98"/>
      <c r="C224" s="99"/>
      <c r="D224" s="99"/>
      <c r="E224" s="99"/>
      <c r="F224" s="99"/>
      <c r="G224" s="99"/>
      <c r="H224" s="98"/>
      <c r="I224" s="98"/>
      <c r="J224" s="98"/>
    </row>
    <row r="225" spans="1:10" ht="14.25">
      <c r="A225" s="98"/>
      <c r="B225" s="98"/>
      <c r="C225" s="99"/>
      <c r="D225" s="99"/>
      <c r="E225" s="99"/>
      <c r="F225" s="99"/>
      <c r="G225" s="99"/>
      <c r="H225" s="98"/>
      <c r="I225" s="98"/>
      <c r="J225" s="98"/>
    </row>
    <row r="226" spans="1:10" ht="14.25">
      <c r="A226" s="98"/>
      <c r="B226" s="98"/>
      <c r="C226" s="99"/>
      <c r="D226" s="99"/>
      <c r="E226" s="99"/>
      <c r="F226" s="99"/>
      <c r="G226" s="99"/>
      <c r="H226" s="98"/>
      <c r="I226" s="98"/>
      <c r="J226" s="98"/>
    </row>
    <row r="227" spans="1:10" ht="14.25">
      <c r="A227" s="98"/>
      <c r="B227" s="98"/>
      <c r="C227" s="99"/>
      <c r="D227" s="99"/>
      <c r="E227" s="99"/>
      <c r="F227" s="99"/>
      <c r="G227" s="99"/>
      <c r="H227" s="98"/>
      <c r="I227" s="98"/>
      <c r="J227" s="98"/>
    </row>
    <row r="228" spans="1:10" ht="14.25">
      <c r="A228" s="98"/>
      <c r="B228" s="98"/>
      <c r="C228" s="99"/>
      <c r="D228" s="99"/>
      <c r="E228" s="99"/>
      <c r="F228" s="99"/>
      <c r="G228" s="99"/>
      <c r="H228" s="98"/>
      <c r="I228" s="98"/>
      <c r="J228" s="98"/>
    </row>
    <row r="229" spans="1:10" ht="14.25">
      <c r="A229" s="98"/>
      <c r="B229" s="98"/>
      <c r="C229" s="99"/>
      <c r="D229" s="99"/>
      <c r="E229" s="99"/>
      <c r="F229" s="99"/>
      <c r="G229" s="99"/>
      <c r="H229" s="98"/>
      <c r="I229" s="98"/>
      <c r="J229" s="98"/>
    </row>
    <row r="230" spans="1:10" ht="14.25">
      <c r="A230" s="98"/>
      <c r="B230" s="98"/>
      <c r="C230" s="99"/>
      <c r="D230" s="99"/>
      <c r="E230" s="99"/>
      <c r="F230" s="99"/>
      <c r="G230" s="99"/>
      <c r="H230" s="98"/>
      <c r="I230" s="98"/>
      <c r="J230" s="98"/>
    </row>
    <row r="231" spans="1:10" ht="14.25">
      <c r="A231" s="98"/>
      <c r="B231" s="98"/>
      <c r="C231" s="99"/>
      <c r="D231" s="99"/>
      <c r="E231" s="99"/>
      <c r="F231" s="99"/>
      <c r="G231" s="99"/>
      <c r="H231" s="98"/>
      <c r="I231" s="98"/>
      <c r="J231" s="98"/>
    </row>
    <row r="232" spans="1:10" ht="14.25">
      <c r="A232" s="98"/>
      <c r="B232" s="98"/>
      <c r="C232" s="99"/>
      <c r="D232" s="99"/>
      <c r="E232" s="99"/>
      <c r="F232" s="99"/>
      <c r="G232" s="99"/>
      <c r="H232" s="98"/>
      <c r="I232" s="98"/>
      <c r="J232" s="98"/>
    </row>
    <row r="233" spans="1:10" ht="14.25">
      <c r="A233" s="98"/>
      <c r="B233" s="98"/>
      <c r="C233" s="99"/>
      <c r="D233" s="99"/>
      <c r="E233" s="99"/>
      <c r="F233" s="99"/>
      <c r="G233" s="99"/>
      <c r="H233" s="98"/>
      <c r="I233" s="98"/>
      <c r="J233" s="98"/>
    </row>
    <row r="234" spans="1:10" ht="14.25">
      <c r="A234" s="98"/>
      <c r="B234" s="98"/>
      <c r="C234" s="99"/>
      <c r="D234" s="99"/>
      <c r="E234" s="99"/>
      <c r="F234" s="99"/>
      <c r="G234" s="99"/>
      <c r="H234" s="98"/>
      <c r="I234" s="98"/>
      <c r="J234" s="98"/>
    </row>
    <row r="235" spans="1:10" ht="14.25">
      <c r="A235" s="98"/>
      <c r="B235" s="98"/>
      <c r="C235" s="99"/>
      <c r="D235" s="99"/>
      <c r="E235" s="99"/>
      <c r="F235" s="99"/>
      <c r="G235" s="99"/>
      <c r="H235" s="98"/>
      <c r="I235" s="98"/>
      <c r="J235" s="98"/>
    </row>
    <row r="236" spans="1:10" ht="14.25">
      <c r="A236" s="98"/>
      <c r="B236" s="98"/>
      <c r="C236" s="99"/>
      <c r="D236" s="99"/>
      <c r="E236" s="99"/>
      <c r="F236" s="99"/>
      <c r="G236" s="99"/>
      <c r="H236" s="98"/>
      <c r="I236" s="98"/>
      <c r="J236" s="98"/>
    </row>
    <row r="237" spans="1:10" ht="14.25">
      <c r="A237" s="98"/>
      <c r="B237" s="98"/>
      <c r="C237" s="99"/>
      <c r="D237" s="99"/>
      <c r="E237" s="99"/>
      <c r="F237" s="99"/>
      <c r="G237" s="99"/>
      <c r="H237" s="98"/>
      <c r="I237" s="98"/>
      <c r="J237" s="98"/>
    </row>
    <row r="238" spans="1:10" ht="14.25">
      <c r="A238" s="98"/>
      <c r="B238" s="98"/>
      <c r="C238" s="99"/>
      <c r="D238" s="99"/>
      <c r="E238" s="99"/>
      <c r="F238" s="99"/>
      <c r="G238" s="99"/>
      <c r="H238" s="98"/>
      <c r="I238" s="98"/>
      <c r="J238" s="98"/>
    </row>
    <row r="239" spans="1:10" ht="14.25">
      <c r="A239" s="98"/>
      <c r="B239" s="98"/>
      <c r="C239" s="99"/>
      <c r="D239" s="99"/>
      <c r="E239" s="99"/>
      <c r="F239" s="99"/>
      <c r="G239" s="99"/>
      <c r="H239" s="98"/>
      <c r="I239" s="98"/>
      <c r="J239" s="98"/>
    </row>
    <row r="240" spans="1:10" ht="14.25">
      <c r="A240" s="98"/>
      <c r="B240" s="98"/>
      <c r="C240" s="99"/>
      <c r="D240" s="99"/>
      <c r="E240" s="99"/>
      <c r="F240" s="99"/>
      <c r="G240" s="99"/>
      <c r="H240" s="98"/>
      <c r="I240" s="98"/>
      <c r="J240" s="98"/>
    </row>
    <row r="241" spans="1:10" ht="14.25">
      <c r="A241" s="98"/>
      <c r="B241" s="98"/>
      <c r="C241" s="99"/>
      <c r="D241" s="99"/>
      <c r="E241" s="99"/>
      <c r="F241" s="99"/>
      <c r="G241" s="99"/>
      <c r="H241" s="98"/>
      <c r="I241" s="98"/>
      <c r="J241" s="98"/>
    </row>
    <row r="242" spans="1:10" ht="14.25">
      <c r="A242" s="98"/>
      <c r="B242" s="98"/>
      <c r="C242" s="99"/>
      <c r="D242" s="99"/>
      <c r="E242" s="99"/>
      <c r="F242" s="99"/>
      <c r="G242" s="99"/>
      <c r="H242" s="98"/>
      <c r="I242" s="98"/>
      <c r="J242" s="98"/>
    </row>
    <row r="243" spans="1:10" ht="14.25">
      <c r="A243" s="98"/>
      <c r="B243" s="98"/>
      <c r="C243" s="99"/>
      <c r="D243" s="99"/>
      <c r="E243" s="99"/>
      <c r="F243" s="99"/>
      <c r="G243" s="99"/>
      <c r="H243" s="98"/>
      <c r="I243" s="98"/>
      <c r="J243" s="98"/>
    </row>
    <row r="244" spans="1:10" ht="14.25">
      <c r="A244" s="98"/>
      <c r="B244" s="98"/>
      <c r="C244" s="99"/>
      <c r="D244" s="99"/>
      <c r="E244" s="99"/>
      <c r="F244" s="99"/>
      <c r="G244" s="99"/>
      <c r="H244" s="98"/>
      <c r="I244" s="98"/>
      <c r="J244" s="98"/>
    </row>
    <row r="245" spans="1:10" ht="14.25">
      <c r="A245" s="98"/>
      <c r="B245" s="98"/>
      <c r="C245" s="99"/>
      <c r="D245" s="99"/>
      <c r="E245" s="99"/>
      <c r="F245" s="99"/>
      <c r="G245" s="99"/>
      <c r="H245" s="98"/>
      <c r="I245" s="98"/>
      <c r="J245" s="98"/>
    </row>
    <row r="246" spans="1:10" ht="14.25">
      <c r="A246" s="98"/>
      <c r="B246" s="98"/>
      <c r="C246" s="99"/>
      <c r="D246" s="99"/>
      <c r="E246" s="99"/>
      <c r="F246" s="99"/>
      <c r="G246" s="99"/>
      <c r="H246" s="98"/>
      <c r="I246" s="98"/>
      <c r="J246" s="98"/>
    </row>
    <row r="247" spans="1:10" ht="14.25">
      <c r="A247" s="98"/>
      <c r="B247" s="98"/>
      <c r="C247" s="99"/>
      <c r="D247" s="99"/>
      <c r="E247" s="99"/>
      <c r="F247" s="99"/>
      <c r="G247" s="99"/>
      <c r="H247" s="98"/>
      <c r="I247" s="98"/>
      <c r="J247" s="98"/>
    </row>
    <row r="248" spans="1:10" ht="14.25">
      <c r="A248" s="98"/>
      <c r="B248" s="98"/>
      <c r="C248" s="99"/>
      <c r="D248" s="99"/>
      <c r="E248" s="99"/>
      <c r="F248" s="99"/>
      <c r="G248" s="99"/>
      <c r="H248" s="98"/>
      <c r="I248" s="98"/>
      <c r="J248" s="98"/>
    </row>
    <row r="249" spans="1:10" ht="14.25">
      <c r="A249" s="98"/>
      <c r="B249" s="98"/>
      <c r="C249" s="99"/>
      <c r="D249" s="99"/>
      <c r="E249" s="99"/>
      <c r="F249" s="99"/>
      <c r="G249" s="99"/>
      <c r="H249" s="98"/>
      <c r="I249" s="98"/>
      <c r="J249" s="98"/>
    </row>
    <row r="250" spans="1:10" ht="14.25">
      <c r="A250" s="98"/>
      <c r="B250" s="98"/>
      <c r="C250" s="99"/>
      <c r="D250" s="99"/>
      <c r="E250" s="99"/>
      <c r="F250" s="99"/>
      <c r="G250" s="99"/>
      <c r="H250" s="98"/>
      <c r="I250" s="98"/>
      <c r="J250" s="98"/>
    </row>
    <row r="251" spans="1:10" ht="14.25">
      <c r="A251" s="98"/>
      <c r="B251" s="98"/>
      <c r="C251" s="99"/>
      <c r="D251" s="99"/>
      <c r="E251" s="99"/>
      <c r="F251" s="99"/>
      <c r="G251" s="99"/>
      <c r="H251" s="98"/>
      <c r="I251" s="98"/>
      <c r="J251" s="98"/>
    </row>
    <row r="252" spans="1:10" ht="14.25">
      <c r="A252" s="98"/>
      <c r="B252" s="98"/>
      <c r="C252" s="99"/>
      <c r="D252" s="99"/>
      <c r="E252" s="99"/>
      <c r="F252" s="99"/>
      <c r="G252" s="99"/>
      <c r="H252" s="98"/>
      <c r="I252" s="98"/>
      <c r="J252" s="98"/>
    </row>
    <row r="253" spans="1:10" ht="14.25">
      <c r="A253" s="98"/>
      <c r="B253" s="98"/>
      <c r="C253" s="99"/>
      <c r="D253" s="99"/>
      <c r="E253" s="99"/>
      <c r="F253" s="99"/>
      <c r="G253" s="99"/>
      <c r="H253" s="98"/>
      <c r="I253" s="98"/>
      <c r="J253" s="98"/>
    </row>
    <row r="254" spans="1:10" ht="14.25">
      <c r="A254" s="98"/>
      <c r="B254" s="98"/>
      <c r="C254" s="99"/>
      <c r="D254" s="99"/>
      <c r="E254" s="99"/>
      <c r="F254" s="99"/>
      <c r="G254" s="99"/>
      <c r="H254" s="98"/>
      <c r="I254" s="98"/>
      <c r="J254" s="98"/>
    </row>
    <row r="255" spans="1:10" ht="14.25">
      <c r="A255" s="98"/>
      <c r="B255" s="98"/>
      <c r="C255" s="99"/>
      <c r="D255" s="99"/>
      <c r="E255" s="99"/>
      <c r="F255" s="99"/>
      <c r="G255" s="99"/>
      <c r="H255" s="98"/>
      <c r="I255" s="98"/>
      <c r="J255" s="98"/>
    </row>
    <row r="256" spans="1:10" ht="14.25">
      <c r="A256" s="98"/>
      <c r="B256" s="98"/>
      <c r="C256" s="99"/>
      <c r="D256" s="99"/>
      <c r="E256" s="99"/>
      <c r="F256" s="99"/>
      <c r="G256" s="99"/>
      <c r="H256" s="98"/>
      <c r="I256" s="98"/>
      <c r="J256" s="98"/>
    </row>
    <row r="257" spans="1:10" ht="14.25">
      <c r="A257" s="98"/>
      <c r="B257" s="98"/>
      <c r="C257" s="99"/>
      <c r="D257" s="99"/>
      <c r="E257" s="99"/>
      <c r="F257" s="99"/>
      <c r="G257" s="99"/>
      <c r="H257" s="98"/>
      <c r="I257" s="98"/>
      <c r="J257" s="98"/>
    </row>
    <row r="258" spans="1:10" ht="14.25">
      <c r="A258" s="98"/>
      <c r="B258" s="98"/>
      <c r="C258" s="99"/>
      <c r="D258" s="99"/>
      <c r="E258" s="99"/>
      <c r="F258" s="99"/>
      <c r="G258" s="99"/>
      <c r="H258" s="98"/>
      <c r="I258" s="98"/>
      <c r="J258" s="98"/>
    </row>
    <row r="259" spans="1:10" ht="14.25">
      <c r="A259" s="98"/>
      <c r="B259" s="98"/>
      <c r="C259" s="99"/>
      <c r="D259" s="99"/>
      <c r="E259" s="99"/>
      <c r="F259" s="99"/>
      <c r="G259" s="99"/>
      <c r="H259" s="98"/>
      <c r="I259" s="98"/>
      <c r="J259" s="98"/>
    </row>
    <row r="260" spans="1:10" ht="14.25">
      <c r="A260" s="98"/>
      <c r="B260" s="98"/>
      <c r="C260" s="99"/>
      <c r="D260" s="99"/>
      <c r="E260" s="99"/>
      <c r="F260" s="99"/>
      <c r="G260" s="99"/>
      <c r="H260" s="98"/>
      <c r="I260" s="98"/>
      <c r="J260" s="98"/>
    </row>
    <row r="261" spans="1:10" ht="14.25">
      <c r="A261" s="98"/>
      <c r="B261" s="98"/>
      <c r="C261" s="99"/>
      <c r="D261" s="99"/>
      <c r="E261" s="99"/>
      <c r="F261" s="99"/>
      <c r="G261" s="99"/>
      <c r="H261" s="98"/>
      <c r="I261" s="98"/>
      <c r="J261" s="98"/>
    </row>
    <row r="262" spans="1:10" ht="14.25">
      <c r="A262" s="98"/>
      <c r="B262" s="98"/>
      <c r="C262" s="99"/>
      <c r="D262" s="99"/>
      <c r="E262" s="99"/>
      <c r="F262" s="99"/>
      <c r="G262" s="99"/>
      <c r="H262" s="98"/>
      <c r="I262" s="98"/>
      <c r="J262" s="98"/>
    </row>
    <row r="263" spans="1:10" ht="14.25">
      <c r="A263" s="98"/>
      <c r="B263" s="98"/>
      <c r="C263" s="99"/>
      <c r="D263" s="99"/>
      <c r="E263" s="99"/>
      <c r="F263" s="99"/>
      <c r="G263" s="99"/>
      <c r="H263" s="98"/>
      <c r="I263" s="98"/>
      <c r="J263" s="98"/>
    </row>
    <row r="264" spans="1:10" ht="14.25">
      <c r="A264" s="98"/>
      <c r="B264" s="98"/>
      <c r="C264" s="99"/>
      <c r="D264" s="99"/>
      <c r="E264" s="99"/>
      <c r="F264" s="99"/>
      <c r="G264" s="99"/>
      <c r="H264" s="98"/>
      <c r="I264" s="98"/>
      <c r="J264" s="98"/>
    </row>
    <row r="265" spans="1:10" ht="14.25">
      <c r="A265" s="98"/>
      <c r="B265" s="98"/>
      <c r="C265" s="99"/>
      <c r="D265" s="99"/>
      <c r="E265" s="99"/>
      <c r="F265" s="99"/>
      <c r="G265" s="99"/>
      <c r="H265" s="98"/>
      <c r="I265" s="98"/>
      <c r="J265" s="98"/>
    </row>
    <row r="266" spans="1:10" ht="14.25">
      <c r="A266" s="98"/>
      <c r="B266" s="98"/>
      <c r="C266" s="99"/>
      <c r="D266" s="99"/>
      <c r="E266" s="99"/>
      <c r="F266" s="99"/>
      <c r="G266" s="99"/>
      <c r="H266" s="98"/>
      <c r="I266" s="98"/>
      <c r="J266" s="98"/>
    </row>
    <row r="267" spans="1:10" ht="14.25">
      <c r="A267" s="98"/>
      <c r="B267" s="98"/>
      <c r="C267" s="99"/>
      <c r="D267" s="99"/>
      <c r="E267" s="99"/>
      <c r="F267" s="99"/>
      <c r="G267" s="99"/>
      <c r="H267" s="98"/>
      <c r="I267" s="98"/>
      <c r="J267" s="98"/>
    </row>
    <row r="268" spans="1:10" ht="14.25">
      <c r="A268" s="98"/>
      <c r="B268" s="98"/>
      <c r="C268" s="99"/>
      <c r="D268" s="99"/>
      <c r="E268" s="99"/>
      <c r="F268" s="99"/>
      <c r="G268" s="99"/>
      <c r="H268" s="98"/>
      <c r="I268" s="98"/>
      <c r="J268" s="98"/>
    </row>
    <row r="269" spans="1:10" ht="14.25">
      <c r="A269" s="98"/>
      <c r="B269" s="98"/>
      <c r="C269" s="99"/>
      <c r="D269" s="99"/>
      <c r="E269" s="99"/>
      <c r="F269" s="99"/>
      <c r="G269" s="99"/>
      <c r="H269" s="98"/>
      <c r="I269" s="98"/>
      <c r="J269" s="98"/>
    </row>
    <row r="270" spans="1:10" ht="14.25">
      <c r="A270" s="98"/>
      <c r="B270" s="98"/>
      <c r="C270" s="99"/>
      <c r="D270" s="99"/>
      <c r="E270" s="99"/>
      <c r="F270" s="99"/>
      <c r="G270" s="99"/>
      <c r="H270" s="98"/>
      <c r="I270" s="98"/>
      <c r="J270" s="98"/>
    </row>
    <row r="271" spans="1:10" ht="14.25">
      <c r="A271" s="98"/>
      <c r="B271" s="98"/>
      <c r="C271" s="99"/>
      <c r="D271" s="99"/>
      <c r="E271" s="99"/>
      <c r="F271" s="99"/>
      <c r="G271" s="99"/>
      <c r="H271" s="98"/>
      <c r="I271" s="98"/>
      <c r="J271" s="98"/>
    </row>
    <row r="272" spans="1:10" ht="14.25">
      <c r="A272" s="98"/>
      <c r="B272" s="98"/>
      <c r="C272" s="99"/>
      <c r="D272" s="99"/>
      <c r="E272" s="99"/>
      <c r="F272" s="99"/>
      <c r="G272" s="99"/>
      <c r="H272" s="98"/>
      <c r="I272" s="98"/>
      <c r="J272" s="98"/>
    </row>
    <row r="273" spans="1:10" ht="14.25">
      <c r="A273" s="98"/>
      <c r="B273" s="98"/>
      <c r="C273" s="99"/>
      <c r="D273" s="99"/>
      <c r="E273" s="99"/>
      <c r="F273" s="99"/>
      <c r="G273" s="99"/>
      <c r="H273" s="98"/>
      <c r="I273" s="98"/>
      <c r="J273" s="98"/>
    </row>
    <row r="274" spans="1:10" ht="14.25">
      <c r="A274" s="98"/>
      <c r="B274" s="98"/>
      <c r="C274" s="99"/>
      <c r="D274" s="99"/>
      <c r="E274" s="99"/>
      <c r="F274" s="99"/>
      <c r="G274" s="99"/>
      <c r="H274" s="98"/>
      <c r="I274" s="98"/>
      <c r="J274" s="98"/>
    </row>
    <row r="275" spans="1:10" ht="14.25">
      <c r="A275" s="98"/>
      <c r="B275" s="98"/>
      <c r="C275" s="99"/>
      <c r="D275" s="99"/>
      <c r="E275" s="99"/>
      <c r="F275" s="99"/>
      <c r="G275" s="99"/>
      <c r="H275" s="98"/>
      <c r="I275" s="98"/>
      <c r="J275" s="98"/>
    </row>
    <row r="276" spans="1:10" ht="14.25">
      <c r="A276" s="98"/>
      <c r="B276" s="98"/>
      <c r="C276" s="99"/>
      <c r="D276" s="99"/>
      <c r="E276" s="99"/>
      <c r="F276" s="99"/>
      <c r="G276" s="99"/>
      <c r="H276" s="98"/>
      <c r="I276" s="98"/>
      <c r="J276" s="98"/>
    </row>
    <row r="277" spans="1:10" ht="14.25">
      <c r="A277" s="98"/>
      <c r="B277" s="98"/>
      <c r="C277" s="99"/>
      <c r="D277" s="99"/>
      <c r="E277" s="99"/>
      <c r="F277" s="99"/>
      <c r="G277" s="99"/>
      <c r="H277" s="98"/>
      <c r="I277" s="98"/>
      <c r="J277" s="98"/>
    </row>
    <row r="278" spans="1:10" ht="14.25">
      <c r="A278" s="98"/>
      <c r="B278" s="98"/>
      <c r="C278" s="99"/>
      <c r="D278" s="99"/>
      <c r="E278" s="99"/>
      <c r="F278" s="99"/>
      <c r="G278" s="99"/>
      <c r="H278" s="98"/>
      <c r="I278" s="98"/>
      <c r="J278" s="98"/>
    </row>
    <row r="279" spans="1:10" ht="14.25">
      <c r="A279" s="98"/>
      <c r="B279" s="98"/>
      <c r="C279" s="99"/>
      <c r="D279" s="99"/>
      <c r="E279" s="99"/>
      <c r="F279" s="99"/>
      <c r="G279" s="99"/>
      <c r="H279" s="98"/>
      <c r="I279" s="98"/>
      <c r="J279" s="98"/>
    </row>
    <row r="280" spans="1:10" ht="14.25">
      <c r="A280" s="98"/>
      <c r="B280" s="98"/>
      <c r="C280" s="99"/>
      <c r="D280" s="99"/>
      <c r="E280" s="99"/>
      <c r="F280" s="99"/>
      <c r="G280" s="99"/>
      <c r="H280" s="98"/>
      <c r="I280" s="98"/>
      <c r="J280" s="98"/>
    </row>
    <row r="281" spans="1:10" ht="14.25">
      <c r="A281" s="98"/>
      <c r="B281" s="98"/>
      <c r="C281" s="99"/>
      <c r="D281" s="99"/>
      <c r="E281" s="99"/>
      <c r="F281" s="99"/>
      <c r="G281" s="99"/>
      <c r="H281" s="98"/>
      <c r="I281" s="98"/>
      <c r="J281" s="98"/>
    </row>
    <row r="282" spans="1:10" ht="14.25">
      <c r="A282" s="98"/>
      <c r="B282" s="98"/>
      <c r="C282" s="99"/>
      <c r="D282" s="99"/>
      <c r="E282" s="99"/>
      <c r="F282" s="99"/>
      <c r="G282" s="99"/>
      <c r="H282" s="98"/>
      <c r="I282" s="98"/>
      <c r="J282" s="98"/>
    </row>
    <row r="283" spans="1:10" ht="14.25">
      <c r="A283" s="98"/>
      <c r="B283" s="98"/>
      <c r="C283" s="99"/>
      <c r="D283" s="99"/>
      <c r="E283" s="99"/>
      <c r="F283" s="99"/>
      <c r="G283" s="99"/>
      <c r="H283" s="98"/>
      <c r="I283" s="98"/>
      <c r="J283" s="98"/>
    </row>
    <row r="284" spans="1:10" ht="14.25">
      <c r="A284" s="98"/>
      <c r="B284" s="98"/>
      <c r="C284" s="99"/>
      <c r="D284" s="99"/>
      <c r="E284" s="99"/>
      <c r="F284" s="99"/>
      <c r="G284" s="99"/>
      <c r="H284" s="98"/>
      <c r="I284" s="98"/>
      <c r="J284" s="98"/>
    </row>
    <row r="285" spans="1:10" ht="14.25">
      <c r="A285" s="98"/>
      <c r="B285" s="98"/>
      <c r="C285" s="99"/>
      <c r="D285" s="99"/>
      <c r="E285" s="99"/>
      <c r="F285" s="99"/>
      <c r="G285" s="99"/>
      <c r="H285" s="98"/>
      <c r="I285" s="98"/>
      <c r="J285" s="98"/>
    </row>
    <row r="286" spans="1:10" ht="14.25">
      <c r="A286" s="98"/>
      <c r="B286" s="98"/>
      <c r="C286" s="99"/>
      <c r="D286" s="99"/>
      <c r="E286" s="99"/>
      <c r="F286" s="99"/>
      <c r="G286" s="99"/>
      <c r="H286" s="98"/>
      <c r="I286" s="98"/>
      <c r="J286" s="98"/>
    </row>
    <row r="287" spans="1:10" ht="14.25">
      <c r="A287" s="98"/>
      <c r="B287" s="98"/>
      <c r="C287" s="99"/>
      <c r="D287" s="99"/>
      <c r="E287" s="99"/>
      <c r="F287" s="99"/>
      <c r="G287" s="99"/>
      <c r="H287" s="98"/>
      <c r="I287" s="98"/>
      <c r="J287" s="98"/>
    </row>
    <row r="288" spans="1:10" ht="14.25">
      <c r="A288" s="98"/>
      <c r="B288" s="98"/>
      <c r="C288" s="99"/>
      <c r="D288" s="99"/>
      <c r="E288" s="99"/>
      <c r="F288" s="99"/>
      <c r="G288" s="99"/>
      <c r="H288" s="98"/>
      <c r="I288" s="98"/>
      <c r="J288" s="98"/>
    </row>
    <row r="289" spans="1:10" ht="14.25">
      <c r="A289" s="98"/>
      <c r="B289" s="98"/>
      <c r="C289" s="99"/>
      <c r="D289" s="99"/>
      <c r="E289" s="99"/>
      <c r="F289" s="99"/>
      <c r="G289" s="99"/>
      <c r="H289" s="98"/>
      <c r="I289" s="98"/>
      <c r="J289" s="98"/>
    </row>
    <row r="290" spans="1:10" ht="14.25">
      <c r="A290" s="98"/>
      <c r="B290" s="98"/>
      <c r="C290" s="99"/>
      <c r="D290" s="99"/>
      <c r="E290" s="99"/>
      <c r="F290" s="99"/>
      <c r="G290" s="99"/>
      <c r="H290" s="98"/>
      <c r="I290" s="98"/>
      <c r="J290" s="98"/>
    </row>
    <row r="291" spans="1:10" ht="14.25">
      <c r="A291" s="98"/>
      <c r="B291" s="98"/>
      <c r="C291" s="99"/>
      <c r="D291" s="99"/>
      <c r="E291" s="99"/>
      <c r="F291" s="99"/>
      <c r="G291" s="99"/>
      <c r="H291" s="98"/>
      <c r="I291" s="98"/>
      <c r="J291" s="98"/>
    </row>
    <row r="292" spans="1:10" ht="14.25">
      <c r="A292" s="98"/>
      <c r="B292" s="98"/>
      <c r="C292" s="99"/>
      <c r="D292" s="99"/>
      <c r="E292" s="99"/>
      <c r="F292" s="99"/>
      <c r="G292" s="99"/>
      <c r="H292" s="98"/>
      <c r="I292" s="98"/>
      <c r="J292" s="98"/>
    </row>
    <row r="293" spans="1:10" ht="14.25">
      <c r="A293" s="98"/>
      <c r="B293" s="98"/>
      <c r="C293" s="99"/>
      <c r="D293" s="99"/>
      <c r="E293" s="99"/>
      <c r="F293" s="99"/>
      <c r="G293" s="99"/>
      <c r="H293" s="98"/>
      <c r="I293" s="98"/>
      <c r="J293" s="98"/>
    </row>
    <row r="294" spans="1:10" ht="14.25">
      <c r="A294" s="98"/>
      <c r="B294" s="98"/>
      <c r="C294" s="99"/>
      <c r="D294" s="99"/>
      <c r="E294" s="99"/>
      <c r="F294" s="99"/>
      <c r="G294" s="99"/>
      <c r="H294" s="98"/>
      <c r="I294" s="98"/>
      <c r="J294" s="98"/>
    </row>
    <row r="295" spans="1:10" ht="14.25">
      <c r="A295" s="98"/>
      <c r="B295" s="98"/>
      <c r="C295" s="99"/>
      <c r="D295" s="99"/>
      <c r="E295" s="99"/>
      <c r="F295" s="99"/>
      <c r="G295" s="99"/>
      <c r="H295" s="98"/>
      <c r="I295" s="98"/>
      <c r="J295" s="98"/>
    </row>
    <row r="296" spans="1:10" ht="14.25">
      <c r="A296" s="98"/>
      <c r="B296" s="98"/>
      <c r="C296" s="99"/>
      <c r="D296" s="99"/>
      <c r="E296" s="99"/>
      <c r="F296" s="99"/>
      <c r="G296" s="99"/>
      <c r="H296" s="98"/>
      <c r="I296" s="98"/>
      <c r="J296" s="98"/>
    </row>
    <row r="297" spans="1:10" ht="14.25">
      <c r="A297" s="98"/>
      <c r="B297" s="98"/>
      <c r="C297" s="99"/>
      <c r="D297" s="99"/>
      <c r="E297" s="99"/>
      <c r="F297" s="99"/>
      <c r="G297" s="99"/>
      <c r="H297" s="98"/>
      <c r="I297" s="98"/>
      <c r="J297" s="98"/>
    </row>
    <row r="298" spans="1:10" ht="14.25">
      <c r="A298" s="98"/>
      <c r="B298" s="98"/>
      <c r="C298" s="99"/>
      <c r="D298" s="99"/>
      <c r="E298" s="99"/>
      <c r="F298" s="99"/>
      <c r="G298" s="99"/>
      <c r="H298" s="98"/>
      <c r="I298" s="98"/>
      <c r="J298" s="98"/>
    </row>
    <row r="299" spans="1:10" ht="14.25">
      <c r="A299" s="98"/>
      <c r="B299" s="98"/>
      <c r="C299" s="99"/>
      <c r="D299" s="99"/>
      <c r="E299" s="99"/>
      <c r="F299" s="99"/>
      <c r="G299" s="99"/>
      <c r="H299" s="98"/>
      <c r="I299" s="98"/>
      <c r="J299" s="98"/>
    </row>
    <row r="300" spans="1:10" ht="14.25">
      <c r="A300" s="98"/>
      <c r="B300" s="98"/>
      <c r="C300" s="99"/>
      <c r="D300" s="99"/>
      <c r="E300" s="99"/>
      <c r="F300" s="99"/>
      <c r="G300" s="99"/>
      <c r="H300" s="98"/>
      <c r="I300" s="98"/>
      <c r="J300" s="98"/>
    </row>
    <row r="301" spans="1:10" ht="14.25">
      <c r="A301" s="98"/>
      <c r="B301" s="98"/>
      <c r="C301" s="99"/>
      <c r="D301" s="99"/>
      <c r="E301" s="99"/>
      <c r="F301" s="99"/>
      <c r="G301" s="99"/>
      <c r="H301" s="98"/>
      <c r="I301" s="98"/>
      <c r="J301" s="98"/>
    </row>
    <row r="302" spans="1:10" ht="14.25">
      <c r="A302" s="98"/>
      <c r="B302" s="98"/>
      <c r="C302" s="99"/>
      <c r="D302" s="99"/>
      <c r="E302" s="99"/>
      <c r="F302" s="99"/>
      <c r="G302" s="99"/>
      <c r="H302" s="98"/>
      <c r="I302" s="98"/>
      <c r="J302" s="98"/>
    </row>
    <row r="303" spans="1:10" ht="14.25">
      <c r="A303" s="98"/>
      <c r="B303" s="98"/>
      <c r="C303" s="99"/>
      <c r="D303" s="99"/>
      <c r="E303" s="99"/>
      <c r="F303" s="99"/>
      <c r="G303" s="99"/>
      <c r="H303" s="98"/>
      <c r="I303" s="98"/>
      <c r="J303" s="98"/>
    </row>
    <row r="304" spans="1:10" ht="14.25">
      <c r="A304" s="98"/>
      <c r="B304" s="98"/>
      <c r="C304" s="99"/>
      <c r="D304" s="99"/>
      <c r="E304" s="99"/>
      <c r="F304" s="99"/>
      <c r="G304" s="99"/>
      <c r="H304" s="98"/>
      <c r="I304" s="98"/>
      <c r="J304" s="98"/>
    </row>
    <row r="305" spans="1:10" ht="14.25">
      <c r="A305" s="98"/>
      <c r="B305" s="98"/>
      <c r="C305" s="99"/>
      <c r="D305" s="99"/>
      <c r="E305" s="99"/>
      <c r="F305" s="99"/>
      <c r="G305" s="99"/>
      <c r="H305" s="98"/>
      <c r="I305" s="98"/>
      <c r="J305" s="98"/>
    </row>
    <row r="306" spans="1:10" ht="14.25">
      <c r="A306" s="98"/>
      <c r="B306" s="98"/>
      <c r="C306" s="99"/>
      <c r="D306" s="99"/>
      <c r="E306" s="99"/>
      <c r="F306" s="99"/>
      <c r="G306" s="99"/>
      <c r="H306" s="98"/>
      <c r="I306" s="98"/>
      <c r="J306" s="98"/>
    </row>
    <row r="307" spans="1:10" ht="14.25">
      <c r="A307" s="98"/>
      <c r="B307" s="98"/>
      <c r="C307" s="99"/>
      <c r="D307" s="99"/>
      <c r="E307" s="99"/>
      <c r="F307" s="99"/>
      <c r="G307" s="99"/>
      <c r="H307" s="98"/>
      <c r="I307" s="98"/>
      <c r="J307" s="98"/>
    </row>
    <row r="308" spans="1:10" ht="14.25">
      <c r="A308" s="98"/>
      <c r="B308" s="98"/>
      <c r="C308" s="99"/>
      <c r="D308" s="99"/>
      <c r="E308" s="99"/>
      <c r="F308" s="99"/>
      <c r="G308" s="99"/>
      <c r="H308" s="98"/>
      <c r="I308" s="98"/>
      <c r="J308" s="98"/>
    </row>
    <row r="309" spans="1:10" ht="14.25">
      <c r="A309" s="98"/>
      <c r="B309" s="98"/>
      <c r="C309" s="99"/>
      <c r="D309" s="99"/>
      <c r="E309" s="99"/>
      <c r="F309" s="99"/>
      <c r="G309" s="99"/>
      <c r="H309" s="98"/>
      <c r="I309" s="98"/>
      <c r="J309" s="98"/>
    </row>
    <row r="310" spans="1:10" ht="14.25">
      <c r="A310" s="98"/>
      <c r="B310" s="98"/>
      <c r="C310" s="99"/>
      <c r="D310" s="99"/>
      <c r="E310" s="99"/>
      <c r="F310" s="99"/>
      <c r="G310" s="99"/>
      <c r="H310" s="98"/>
      <c r="I310" s="98"/>
      <c r="J310" s="98"/>
    </row>
    <row r="311" spans="1:10" ht="14.25">
      <c r="A311" s="98"/>
      <c r="B311" s="98"/>
      <c r="C311" s="99"/>
      <c r="D311" s="99"/>
      <c r="E311" s="99"/>
      <c r="F311" s="99"/>
      <c r="G311" s="99"/>
      <c r="H311" s="98"/>
      <c r="I311" s="98"/>
      <c r="J311" s="98"/>
    </row>
    <row r="312" spans="1:10" ht="14.25">
      <c r="A312" s="98"/>
      <c r="B312" s="98"/>
      <c r="C312" s="99"/>
      <c r="D312" s="99"/>
      <c r="E312" s="99"/>
      <c r="F312" s="99"/>
      <c r="G312" s="99"/>
      <c r="H312" s="98"/>
      <c r="I312" s="98"/>
      <c r="J312" s="98"/>
    </row>
    <row r="313" spans="1:10" ht="14.25">
      <c r="A313" s="98"/>
      <c r="B313" s="98"/>
      <c r="C313" s="99"/>
      <c r="D313" s="99"/>
      <c r="E313" s="99"/>
      <c r="F313" s="99"/>
      <c r="G313" s="99"/>
      <c r="H313" s="98"/>
      <c r="I313" s="98"/>
      <c r="J313" s="98"/>
    </row>
    <row r="314" spans="1:10" ht="14.25">
      <c r="A314" s="98"/>
      <c r="B314" s="98"/>
      <c r="C314" s="99"/>
      <c r="D314" s="99"/>
      <c r="E314" s="99"/>
      <c r="F314" s="99"/>
      <c r="G314" s="99"/>
      <c r="H314" s="98"/>
      <c r="I314" s="98"/>
      <c r="J314" s="98"/>
    </row>
    <row r="315" spans="1:10" ht="14.25">
      <c r="A315" s="98"/>
      <c r="B315" s="98"/>
      <c r="C315" s="99"/>
      <c r="D315" s="99"/>
      <c r="E315" s="99"/>
      <c r="F315" s="99"/>
      <c r="G315" s="99"/>
      <c r="H315" s="98"/>
      <c r="I315" s="98"/>
      <c r="J315" s="98"/>
    </row>
    <row r="316" spans="1:10" ht="14.25">
      <c r="A316" s="98"/>
      <c r="B316" s="98"/>
      <c r="C316" s="99"/>
      <c r="D316" s="99"/>
      <c r="E316" s="99"/>
      <c r="F316" s="99"/>
      <c r="G316" s="99"/>
      <c r="H316" s="98"/>
      <c r="I316" s="98"/>
      <c r="J316" s="98"/>
    </row>
    <row r="317" spans="1:10" ht="14.25">
      <c r="A317" s="98"/>
      <c r="B317" s="98"/>
      <c r="C317" s="99"/>
      <c r="D317" s="99"/>
      <c r="E317" s="99"/>
      <c r="F317" s="99"/>
      <c r="G317" s="99"/>
      <c r="H317" s="98"/>
      <c r="I317" s="98"/>
      <c r="J317" s="98"/>
    </row>
    <row r="318" spans="1:10" ht="14.25">
      <c r="A318" s="98"/>
      <c r="B318" s="98"/>
      <c r="C318" s="99"/>
      <c r="D318" s="99"/>
      <c r="E318" s="99"/>
      <c r="F318" s="99"/>
      <c r="G318" s="99"/>
      <c r="H318" s="98"/>
      <c r="I318" s="98"/>
      <c r="J318" s="98"/>
    </row>
    <row r="319" spans="1:10" ht="14.25">
      <c r="A319" s="98"/>
      <c r="B319" s="98"/>
      <c r="C319" s="99"/>
      <c r="D319" s="99"/>
      <c r="E319" s="99"/>
      <c r="F319" s="99"/>
      <c r="G319" s="99"/>
      <c r="H319" s="98"/>
      <c r="I319" s="98"/>
      <c r="J319" s="98"/>
    </row>
    <row r="320" spans="1:10" ht="14.25">
      <c r="A320" s="98"/>
      <c r="B320" s="98"/>
      <c r="C320" s="99"/>
      <c r="D320" s="99"/>
      <c r="E320" s="99"/>
      <c r="F320" s="99"/>
      <c r="G320" s="99"/>
      <c r="H320" s="98"/>
      <c r="I320" s="98"/>
      <c r="J320" s="98"/>
    </row>
    <row r="321" spans="1:10" ht="14.25">
      <c r="A321" s="98"/>
      <c r="B321" s="98"/>
      <c r="C321" s="99"/>
      <c r="D321" s="99"/>
      <c r="E321" s="99"/>
      <c r="F321" s="99"/>
      <c r="G321" s="99"/>
      <c r="H321" s="98"/>
      <c r="I321" s="98"/>
      <c r="J321" s="98"/>
    </row>
    <row r="322" spans="1:10" ht="14.25">
      <c r="A322" s="98"/>
      <c r="B322" s="98"/>
      <c r="C322" s="99"/>
      <c r="D322" s="99"/>
      <c r="E322" s="99"/>
      <c r="F322" s="99"/>
      <c r="G322" s="99"/>
      <c r="H322" s="98"/>
      <c r="I322" s="98"/>
      <c r="J322" s="98"/>
    </row>
    <row r="323" spans="1:10" ht="14.25">
      <c r="A323" s="98"/>
      <c r="B323" s="98"/>
      <c r="C323" s="99"/>
      <c r="D323" s="99"/>
      <c r="E323" s="99"/>
      <c r="F323" s="99"/>
      <c r="G323" s="99"/>
      <c r="H323" s="98"/>
      <c r="I323" s="98"/>
      <c r="J323" s="98"/>
    </row>
    <row r="324" spans="1:10" ht="14.25">
      <c r="A324" s="98"/>
      <c r="B324" s="98"/>
      <c r="C324" s="99"/>
      <c r="D324" s="99"/>
      <c r="E324" s="99"/>
      <c r="F324" s="99"/>
      <c r="G324" s="99"/>
      <c r="H324" s="98"/>
      <c r="I324" s="98"/>
      <c r="J324" s="98"/>
    </row>
    <row r="325" spans="1:10" ht="14.25">
      <c r="A325" s="98"/>
      <c r="B325" s="98"/>
      <c r="C325" s="99"/>
      <c r="D325" s="99"/>
      <c r="E325" s="99"/>
      <c r="F325" s="99"/>
      <c r="G325" s="99"/>
      <c r="H325" s="98"/>
      <c r="I325" s="98"/>
      <c r="J325" s="98"/>
    </row>
    <row r="326" spans="1:10" ht="14.25">
      <c r="A326" s="98"/>
      <c r="B326" s="98"/>
      <c r="C326" s="99"/>
      <c r="D326" s="99"/>
      <c r="E326" s="99"/>
      <c r="F326" s="99"/>
      <c r="G326" s="99"/>
      <c r="H326" s="98"/>
      <c r="I326" s="98"/>
      <c r="J326" s="98"/>
    </row>
    <row r="327" spans="1:10" ht="14.25">
      <c r="A327" s="98"/>
      <c r="B327" s="98"/>
      <c r="C327" s="99"/>
      <c r="D327" s="99"/>
      <c r="E327" s="99"/>
      <c r="F327" s="99"/>
      <c r="G327" s="99"/>
      <c r="H327" s="98"/>
      <c r="I327" s="98"/>
      <c r="J327" s="98"/>
    </row>
    <row r="328" spans="1:10" ht="14.25">
      <c r="A328" s="98"/>
      <c r="B328" s="98"/>
      <c r="C328" s="99"/>
      <c r="D328" s="99"/>
      <c r="E328" s="99"/>
      <c r="F328" s="99"/>
      <c r="G328" s="99"/>
      <c r="H328" s="98"/>
      <c r="I328" s="98"/>
      <c r="J328" s="98"/>
    </row>
    <row r="329" spans="1:10" ht="14.25">
      <c r="A329" s="98"/>
      <c r="B329" s="98"/>
      <c r="C329" s="99"/>
      <c r="D329" s="99"/>
      <c r="E329" s="99"/>
      <c r="F329" s="99"/>
      <c r="G329" s="99"/>
      <c r="H329" s="98"/>
      <c r="I329" s="98"/>
      <c r="J329" s="98"/>
    </row>
    <row r="330" spans="1:10" ht="14.25">
      <c r="A330" s="98"/>
      <c r="B330" s="98"/>
      <c r="C330" s="99"/>
      <c r="D330" s="99"/>
      <c r="E330" s="99"/>
      <c r="F330" s="99"/>
      <c r="G330" s="99"/>
      <c r="H330" s="98"/>
      <c r="I330" s="98"/>
      <c r="J330" s="98"/>
    </row>
    <row r="331" spans="1:10" ht="14.25">
      <c r="A331" s="98"/>
      <c r="B331" s="98"/>
      <c r="C331" s="99"/>
      <c r="D331" s="99"/>
      <c r="E331" s="99"/>
      <c r="F331" s="99"/>
      <c r="G331" s="99"/>
      <c r="H331" s="98"/>
      <c r="I331" s="98"/>
      <c r="J331" s="98"/>
    </row>
    <row r="332" spans="1:10" ht="14.25">
      <c r="A332" s="98"/>
      <c r="B332" s="98"/>
      <c r="C332" s="99"/>
      <c r="D332" s="99"/>
      <c r="E332" s="99"/>
      <c r="F332" s="99"/>
      <c r="G332" s="99"/>
      <c r="H332" s="98"/>
      <c r="I332" s="98"/>
      <c r="J332" s="98"/>
    </row>
    <row r="333" spans="1:10" ht="14.25">
      <c r="A333" s="98"/>
      <c r="B333" s="98"/>
      <c r="C333" s="99"/>
      <c r="D333" s="99"/>
      <c r="E333" s="99"/>
      <c r="F333" s="99"/>
      <c r="G333" s="99"/>
      <c r="H333" s="98"/>
      <c r="I333" s="98"/>
      <c r="J333" s="98"/>
    </row>
    <row r="334" spans="1:10" ht="14.25">
      <c r="A334" s="98"/>
      <c r="B334" s="98"/>
      <c r="C334" s="99"/>
      <c r="D334" s="99"/>
      <c r="E334" s="99"/>
      <c r="F334" s="99"/>
      <c r="G334" s="99"/>
      <c r="H334" s="98"/>
      <c r="I334" s="98"/>
      <c r="J334" s="98"/>
    </row>
    <row r="335" spans="1:10" ht="14.25">
      <c r="A335" s="98"/>
      <c r="B335" s="98"/>
      <c r="C335" s="99"/>
      <c r="D335" s="99"/>
      <c r="E335" s="99"/>
      <c r="F335" s="99"/>
      <c r="G335" s="99"/>
      <c r="H335" s="98"/>
      <c r="I335" s="98"/>
      <c r="J335" s="98"/>
    </row>
    <row r="336" spans="1:10" ht="14.25">
      <c r="A336" s="98"/>
      <c r="B336" s="98"/>
      <c r="C336" s="99"/>
      <c r="D336" s="99"/>
      <c r="E336" s="99"/>
      <c r="F336" s="99"/>
      <c r="G336" s="99"/>
      <c r="H336" s="98"/>
      <c r="I336" s="98"/>
      <c r="J336" s="98"/>
    </row>
    <row r="337" spans="1:10" ht="14.25">
      <c r="A337" s="98"/>
      <c r="B337" s="98"/>
      <c r="C337" s="99"/>
      <c r="D337" s="99"/>
      <c r="E337" s="99"/>
      <c r="F337" s="99"/>
      <c r="G337" s="99"/>
      <c r="H337" s="98"/>
      <c r="I337" s="98"/>
      <c r="J337" s="98"/>
    </row>
    <row r="338" spans="1:10" ht="14.25">
      <c r="A338" s="98"/>
      <c r="B338" s="98"/>
      <c r="C338" s="99"/>
      <c r="D338" s="99"/>
      <c r="E338" s="99"/>
      <c r="F338" s="99"/>
      <c r="G338" s="99"/>
      <c r="H338" s="98"/>
      <c r="I338" s="98"/>
      <c r="J338" s="98"/>
    </row>
    <row r="339" spans="1:10" ht="14.25">
      <c r="A339" s="98"/>
      <c r="B339" s="98"/>
      <c r="C339" s="99"/>
      <c r="D339" s="99"/>
      <c r="E339" s="99"/>
      <c r="F339" s="99"/>
      <c r="G339" s="99"/>
      <c r="H339" s="98"/>
      <c r="I339" s="98"/>
      <c r="J339" s="98"/>
    </row>
    <row r="340" spans="1:10" ht="14.25">
      <c r="A340" s="98"/>
      <c r="B340" s="98"/>
      <c r="C340" s="99"/>
      <c r="D340" s="99"/>
      <c r="E340" s="99"/>
      <c r="F340" s="99"/>
      <c r="G340" s="99"/>
      <c r="H340" s="98"/>
      <c r="I340" s="98"/>
      <c r="J340" s="98"/>
    </row>
    <row r="341" spans="1:10" ht="14.25">
      <c r="A341" s="98"/>
      <c r="B341" s="98"/>
      <c r="C341" s="99"/>
      <c r="D341" s="99"/>
      <c r="E341" s="99"/>
      <c r="F341" s="99"/>
      <c r="G341" s="99"/>
      <c r="H341" s="98"/>
      <c r="I341" s="98"/>
      <c r="J341" s="98"/>
    </row>
    <row r="342" spans="1:10" ht="14.25">
      <c r="A342" s="98"/>
      <c r="B342" s="98"/>
      <c r="C342" s="99"/>
      <c r="D342" s="99"/>
      <c r="E342" s="99"/>
      <c r="F342" s="99"/>
      <c r="G342" s="99"/>
      <c r="H342" s="98"/>
      <c r="I342" s="98"/>
      <c r="J342" s="98"/>
    </row>
    <row r="343" spans="1:10" ht="14.25">
      <c r="A343" s="98"/>
      <c r="B343" s="98"/>
      <c r="C343" s="99"/>
      <c r="D343" s="99"/>
      <c r="E343" s="99"/>
      <c r="F343" s="99"/>
      <c r="G343" s="99"/>
      <c r="H343" s="98"/>
      <c r="I343" s="98"/>
      <c r="J343" s="98"/>
    </row>
    <row r="344" spans="1:10" ht="14.25">
      <c r="A344" s="98"/>
      <c r="B344" s="98"/>
      <c r="C344" s="99"/>
      <c r="D344" s="99"/>
      <c r="E344" s="99"/>
      <c r="F344" s="99"/>
      <c r="G344" s="99"/>
      <c r="H344" s="98"/>
      <c r="I344" s="98"/>
      <c r="J344" s="98"/>
    </row>
    <row r="345" spans="1:10" ht="14.25">
      <c r="A345" s="98"/>
      <c r="B345" s="98"/>
      <c r="C345" s="99"/>
      <c r="D345" s="99"/>
      <c r="E345" s="99"/>
      <c r="F345" s="99"/>
      <c r="G345" s="99"/>
      <c r="H345" s="98"/>
      <c r="I345" s="98"/>
      <c r="J345" s="98"/>
    </row>
    <row r="346" spans="1:10" ht="14.25">
      <c r="A346" s="98"/>
      <c r="B346" s="98"/>
      <c r="C346" s="99"/>
      <c r="D346" s="99"/>
      <c r="E346" s="99"/>
      <c r="F346" s="99"/>
      <c r="G346" s="99"/>
      <c r="H346" s="98"/>
      <c r="I346" s="98"/>
      <c r="J346" s="98"/>
    </row>
    <row r="347" spans="1:10" ht="14.25">
      <c r="A347" s="98"/>
      <c r="B347" s="98"/>
      <c r="C347" s="99"/>
      <c r="D347" s="99"/>
      <c r="E347" s="99"/>
      <c r="F347" s="99"/>
      <c r="G347" s="99"/>
      <c r="H347" s="98"/>
      <c r="I347" s="98"/>
      <c r="J347" s="98"/>
    </row>
    <row r="348" spans="1:10" ht="14.25">
      <c r="A348" s="98"/>
      <c r="B348" s="98"/>
      <c r="C348" s="99"/>
      <c r="D348" s="99"/>
      <c r="E348" s="99"/>
      <c r="F348" s="99"/>
      <c r="G348" s="99"/>
      <c r="H348" s="98"/>
      <c r="I348" s="98"/>
      <c r="J348" s="98"/>
    </row>
    <row r="349" spans="1:10" ht="14.25">
      <c r="A349" s="98"/>
      <c r="B349" s="98"/>
      <c r="C349" s="99"/>
      <c r="D349" s="99"/>
      <c r="E349" s="99"/>
      <c r="F349" s="99"/>
      <c r="G349" s="99"/>
      <c r="H349" s="98"/>
      <c r="I349" s="98"/>
      <c r="J349" s="98"/>
    </row>
    <row r="350" spans="1:10" ht="14.25">
      <c r="A350" s="98"/>
      <c r="B350" s="98"/>
      <c r="C350" s="99"/>
      <c r="D350" s="99"/>
      <c r="E350" s="99"/>
      <c r="F350" s="99"/>
      <c r="G350" s="99"/>
      <c r="H350" s="98"/>
      <c r="I350" s="98"/>
      <c r="J350" s="98"/>
    </row>
    <row r="351" spans="1:10" ht="14.25">
      <c r="A351" s="98"/>
      <c r="B351" s="98"/>
      <c r="C351" s="99"/>
      <c r="D351" s="99"/>
      <c r="E351" s="99"/>
      <c r="F351" s="99"/>
      <c r="G351" s="99"/>
      <c r="H351" s="98"/>
      <c r="I351" s="98"/>
      <c r="J351" s="98"/>
    </row>
    <row r="352" spans="1:10" ht="14.25">
      <c r="A352" s="98"/>
      <c r="B352" s="98"/>
      <c r="C352" s="99"/>
      <c r="D352" s="99"/>
      <c r="E352" s="99"/>
      <c r="F352" s="99"/>
      <c r="G352" s="99"/>
      <c r="H352" s="98"/>
      <c r="I352" s="98"/>
      <c r="J352" s="98"/>
    </row>
    <row r="353" spans="1:10" ht="14.25">
      <c r="A353" s="98"/>
      <c r="B353" s="98"/>
      <c r="C353" s="99"/>
      <c r="D353" s="99"/>
      <c r="E353" s="99"/>
      <c r="F353" s="99"/>
      <c r="G353" s="99"/>
      <c r="H353" s="98"/>
      <c r="I353" s="98"/>
      <c r="J353" s="98"/>
    </row>
    <row r="354" spans="1:10" ht="14.25">
      <c r="A354" s="98"/>
      <c r="B354" s="98"/>
      <c r="C354" s="99"/>
      <c r="D354" s="99"/>
      <c r="E354" s="99"/>
      <c r="F354" s="99"/>
      <c r="G354" s="99"/>
      <c r="H354" s="98"/>
      <c r="I354" s="98"/>
      <c r="J354" s="98"/>
    </row>
    <row r="355" spans="1:10" ht="14.25">
      <c r="A355" s="98"/>
      <c r="B355" s="98"/>
      <c r="C355" s="99"/>
      <c r="D355" s="99"/>
      <c r="E355" s="99"/>
      <c r="F355" s="99"/>
      <c r="G355" s="99"/>
      <c r="H355" s="98"/>
      <c r="I355" s="98"/>
      <c r="J355" s="98"/>
    </row>
    <row r="356" spans="1:10" ht="14.25">
      <c r="A356" s="98"/>
      <c r="B356" s="98"/>
      <c r="C356" s="99"/>
      <c r="D356" s="99"/>
      <c r="E356" s="99"/>
      <c r="F356" s="99"/>
      <c r="G356" s="99"/>
      <c r="H356" s="98"/>
      <c r="I356" s="98"/>
      <c r="J356" s="98"/>
    </row>
    <row r="357" spans="1:10" ht="14.25">
      <c r="A357" s="98"/>
      <c r="B357" s="98"/>
      <c r="C357" s="99"/>
      <c r="D357" s="99"/>
      <c r="E357" s="99"/>
      <c r="F357" s="99"/>
      <c r="G357" s="99"/>
      <c r="H357" s="98"/>
      <c r="I357" s="98"/>
      <c r="J357" s="98"/>
    </row>
    <row r="358" spans="1:10" ht="14.25">
      <c r="A358" s="98"/>
      <c r="B358" s="98"/>
      <c r="C358" s="99"/>
      <c r="D358" s="99"/>
      <c r="E358" s="99"/>
      <c r="F358" s="99"/>
      <c r="G358" s="99"/>
      <c r="H358" s="98"/>
      <c r="I358" s="98"/>
      <c r="J358" s="98"/>
    </row>
    <row r="359" spans="1:10" ht="14.25">
      <c r="A359" s="98"/>
      <c r="B359" s="98"/>
      <c r="C359" s="99"/>
      <c r="D359" s="99"/>
      <c r="E359" s="99"/>
      <c r="F359" s="99"/>
      <c r="G359" s="99"/>
      <c r="H359" s="98"/>
      <c r="I359" s="98"/>
      <c r="J359" s="98"/>
    </row>
    <row r="360" spans="1:10" ht="14.25">
      <c r="A360" s="98"/>
      <c r="B360" s="98"/>
      <c r="C360" s="99"/>
      <c r="D360" s="99"/>
      <c r="E360" s="99"/>
      <c r="F360" s="99"/>
      <c r="G360" s="99"/>
      <c r="H360" s="98"/>
      <c r="I360" s="98"/>
      <c r="J360" s="98"/>
    </row>
    <row r="361" spans="1:10" ht="14.25">
      <c r="A361" s="98"/>
      <c r="B361" s="98"/>
      <c r="C361" s="99"/>
      <c r="D361" s="99"/>
      <c r="E361" s="99"/>
      <c r="F361" s="99"/>
      <c r="G361" s="99"/>
      <c r="H361" s="98"/>
      <c r="I361" s="98"/>
      <c r="J361" s="98"/>
    </row>
  </sheetData>
  <mergeCells count="4">
    <mergeCell ref="A3:K3"/>
    <mergeCell ref="A47:K47"/>
    <mergeCell ref="A49:K49"/>
    <mergeCell ref="A1:L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scale="65" r:id="rId1"/>
  <headerFooter alignWithMargins="0">
    <oddHeader>&amp;R&amp;"Arial,Bold"Appendix 1</oddHeader>
    <oddFooter>&amp;L&amp;8&amp;D&amp;T&amp;Z&amp;F</oddFooter>
  </headerFooter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5" zoomScaleNormal="70" zoomScaleSheetLayoutView="75" workbookViewId="0" topLeftCell="C1">
      <selection activeCell="P25" sqref="P25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8" width="12.7109375" style="2" customWidth="1"/>
    <col min="9" max="11" width="12.7109375" style="1" customWidth="1"/>
    <col min="12" max="12" width="14.00390625" style="1" bestFit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1" ht="18">
      <c r="A3" s="310" t="s">
        <v>192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5" thickBot="1"/>
    <row r="5" spans="2:12" ht="14.25">
      <c r="B5" s="126"/>
      <c r="C5" s="283" t="s">
        <v>2</v>
      </c>
      <c r="D5" s="283" t="s">
        <v>2</v>
      </c>
      <c r="E5" s="284" t="s">
        <v>2</v>
      </c>
      <c r="F5" s="284" t="s">
        <v>2</v>
      </c>
      <c r="G5" s="285" t="s">
        <v>2</v>
      </c>
      <c r="H5" s="283" t="s">
        <v>37</v>
      </c>
      <c r="I5" s="284" t="s">
        <v>37</v>
      </c>
      <c r="J5" s="285" t="s">
        <v>37</v>
      </c>
      <c r="K5" s="286" t="s">
        <v>63</v>
      </c>
      <c r="L5" s="285" t="s">
        <v>226</v>
      </c>
    </row>
    <row r="6" spans="2:12" ht="14.25">
      <c r="B6" s="127"/>
      <c r="C6" s="109" t="s">
        <v>288</v>
      </c>
      <c r="D6" s="109" t="s">
        <v>42</v>
      </c>
      <c r="E6" s="19" t="s">
        <v>289</v>
      </c>
      <c r="F6" s="4" t="s">
        <v>293</v>
      </c>
      <c r="G6" s="53" t="s">
        <v>281</v>
      </c>
      <c r="H6" s="109" t="s">
        <v>174</v>
      </c>
      <c r="I6" s="4" t="s">
        <v>293</v>
      </c>
      <c r="J6" s="53" t="s">
        <v>281</v>
      </c>
      <c r="K6" s="3" t="s">
        <v>174</v>
      </c>
      <c r="L6" s="53" t="s">
        <v>174</v>
      </c>
    </row>
    <row r="7" spans="2:12" ht="14.25">
      <c r="B7" s="127"/>
      <c r="C7" s="109" t="s">
        <v>174</v>
      </c>
      <c r="D7" s="109" t="s">
        <v>174</v>
      </c>
      <c r="E7" s="4" t="s">
        <v>282</v>
      </c>
      <c r="F7" s="4" t="s">
        <v>279</v>
      </c>
      <c r="G7" s="53" t="s">
        <v>292</v>
      </c>
      <c r="H7" s="109" t="s">
        <v>175</v>
      </c>
      <c r="I7" s="4" t="s">
        <v>279</v>
      </c>
      <c r="J7" s="53" t="s">
        <v>292</v>
      </c>
      <c r="K7" s="3" t="s">
        <v>175</v>
      </c>
      <c r="L7" s="53" t="s">
        <v>175</v>
      </c>
    </row>
    <row r="8" spans="2:12" ht="14.25">
      <c r="B8" s="127" t="s">
        <v>3</v>
      </c>
      <c r="C8" s="109" t="s">
        <v>175</v>
      </c>
      <c r="D8" s="109" t="s">
        <v>175</v>
      </c>
      <c r="E8" s="4" t="s">
        <v>175</v>
      </c>
      <c r="F8" s="4" t="s">
        <v>280</v>
      </c>
      <c r="G8" s="53" t="s">
        <v>282</v>
      </c>
      <c r="H8" s="109" t="s">
        <v>291</v>
      </c>
      <c r="I8" s="4" t="s">
        <v>280</v>
      </c>
      <c r="J8" s="53" t="s">
        <v>282</v>
      </c>
      <c r="K8" s="3"/>
      <c r="L8" s="53"/>
    </row>
    <row r="9" spans="2:14" ht="14.25">
      <c r="B9" s="128"/>
      <c r="C9" s="110" t="s">
        <v>5</v>
      </c>
      <c r="D9" s="110" t="s">
        <v>5</v>
      </c>
      <c r="E9" s="5" t="s">
        <v>5</v>
      </c>
      <c r="F9" s="5" t="s">
        <v>5</v>
      </c>
      <c r="G9" s="55" t="s">
        <v>5</v>
      </c>
      <c r="H9" s="110" t="s">
        <v>5</v>
      </c>
      <c r="I9" s="5" t="s">
        <v>5</v>
      </c>
      <c r="J9" s="55" t="s">
        <v>5</v>
      </c>
      <c r="K9" s="45" t="s">
        <v>5</v>
      </c>
      <c r="L9" s="55" t="s">
        <v>5</v>
      </c>
      <c r="N9" s="1" t="s">
        <v>241</v>
      </c>
    </row>
    <row r="10" spans="2:12" ht="14.25">
      <c r="B10" s="257"/>
      <c r="C10" s="228"/>
      <c r="D10" s="251"/>
      <c r="E10" s="251"/>
      <c r="F10" s="251"/>
      <c r="G10" s="275"/>
      <c r="H10" s="251"/>
      <c r="I10" s="251"/>
      <c r="J10" s="275"/>
      <c r="K10" s="19"/>
      <c r="L10" s="79"/>
    </row>
    <row r="11" spans="2:12" ht="14.25">
      <c r="B11" s="255" t="s">
        <v>186</v>
      </c>
      <c r="C11" s="66">
        <v>3290</v>
      </c>
      <c r="D11" s="16">
        <v>5266</v>
      </c>
      <c r="E11" s="16">
        <v>5266</v>
      </c>
      <c r="F11" s="16">
        <v>5335</v>
      </c>
      <c r="G11" s="65">
        <f>F11-E11</f>
        <v>69</v>
      </c>
      <c r="H11" s="16">
        <v>3458</v>
      </c>
      <c r="I11" s="16">
        <v>3458</v>
      </c>
      <c r="J11" s="65">
        <f>I11-H11</f>
        <v>0</v>
      </c>
      <c r="K11" s="16">
        <v>3460</v>
      </c>
      <c r="L11" s="65">
        <v>3460</v>
      </c>
    </row>
    <row r="12" spans="2:12" ht="14.25">
      <c r="B12" s="139"/>
      <c r="C12" s="62"/>
      <c r="D12" s="42"/>
      <c r="E12" s="42"/>
      <c r="F12" s="42"/>
      <c r="G12" s="84"/>
      <c r="H12" s="42"/>
      <c r="I12" s="42"/>
      <c r="J12" s="84"/>
      <c r="K12" s="42"/>
      <c r="L12" s="84"/>
    </row>
    <row r="13" spans="2:12" ht="14.25">
      <c r="B13" s="263" t="s">
        <v>230</v>
      </c>
      <c r="C13" s="62"/>
      <c r="D13" s="42"/>
      <c r="E13" s="42"/>
      <c r="F13" s="42"/>
      <c r="G13" s="84"/>
      <c r="H13" s="42"/>
      <c r="I13" s="42"/>
      <c r="J13" s="84"/>
      <c r="K13" s="42"/>
      <c r="L13" s="84"/>
    </row>
    <row r="14" spans="2:12" ht="14.25">
      <c r="B14" s="131" t="s">
        <v>231</v>
      </c>
      <c r="C14" s="115">
        <v>126</v>
      </c>
      <c r="D14" s="11">
        <v>126</v>
      </c>
      <c r="E14" s="11">
        <v>126</v>
      </c>
      <c r="F14" s="11">
        <v>126</v>
      </c>
      <c r="G14" s="59">
        <f>F14-E14</f>
        <v>0</v>
      </c>
      <c r="H14" s="11">
        <v>126</v>
      </c>
      <c r="I14" s="11">
        <v>126</v>
      </c>
      <c r="J14" s="59">
        <f>I14-H14</f>
        <v>0</v>
      </c>
      <c r="K14" s="11">
        <v>0</v>
      </c>
      <c r="L14" s="59">
        <v>0</v>
      </c>
    </row>
    <row r="15" spans="2:12" ht="14.25">
      <c r="B15" s="131" t="s">
        <v>232</v>
      </c>
      <c r="C15" s="115">
        <v>156</v>
      </c>
      <c r="D15" s="11">
        <v>156</v>
      </c>
      <c r="E15" s="11">
        <v>156</v>
      </c>
      <c r="F15" s="11">
        <v>156</v>
      </c>
      <c r="G15" s="59">
        <f>F15-E15</f>
        <v>0</v>
      </c>
      <c r="H15" s="11">
        <v>205</v>
      </c>
      <c r="I15" s="11">
        <v>205</v>
      </c>
      <c r="J15" s="59">
        <f>I15-H15</f>
        <v>0</v>
      </c>
      <c r="K15" s="11">
        <v>0</v>
      </c>
      <c r="L15" s="59">
        <v>0</v>
      </c>
    </row>
    <row r="16" spans="2:12" ht="14.25">
      <c r="B16" s="255" t="s">
        <v>230</v>
      </c>
      <c r="C16" s="66">
        <f aca="true" t="shared" si="0" ref="C16:L16">SUM(C14:C15)</f>
        <v>282</v>
      </c>
      <c r="D16" s="8">
        <f>SUM(D14:D15)</f>
        <v>282</v>
      </c>
      <c r="E16" s="8">
        <f>SUM(E14:E15)</f>
        <v>282</v>
      </c>
      <c r="F16" s="8">
        <f>SUM(F14:F15)</f>
        <v>282</v>
      </c>
      <c r="G16" s="63">
        <f>SUM(G14:G15)</f>
        <v>0</v>
      </c>
      <c r="H16" s="16">
        <f t="shared" si="0"/>
        <v>331</v>
      </c>
      <c r="I16" s="16">
        <f t="shared" si="0"/>
        <v>331</v>
      </c>
      <c r="J16" s="63">
        <f>SUM(J14:J15)</f>
        <v>0</v>
      </c>
      <c r="K16" s="8">
        <f t="shared" si="0"/>
        <v>0</v>
      </c>
      <c r="L16" s="65">
        <f t="shared" si="0"/>
        <v>0</v>
      </c>
    </row>
    <row r="17" spans="2:12" ht="14.25">
      <c r="B17" s="137"/>
      <c r="C17" s="62"/>
      <c r="D17" s="42"/>
      <c r="E17" s="42"/>
      <c r="F17" s="42"/>
      <c r="G17" s="84"/>
      <c r="H17" s="42"/>
      <c r="I17" s="42"/>
      <c r="J17" s="84"/>
      <c r="K17" s="42"/>
      <c r="L17" s="84"/>
    </row>
    <row r="18" spans="2:12" ht="14.25">
      <c r="B18" s="255" t="s">
        <v>248</v>
      </c>
      <c r="C18" s="66">
        <v>2161</v>
      </c>
      <c r="D18" s="16">
        <v>2161</v>
      </c>
      <c r="E18" s="16">
        <v>2161</v>
      </c>
      <c r="F18" s="16">
        <v>2161</v>
      </c>
      <c r="G18" s="65">
        <f>F18-E18</f>
        <v>0</v>
      </c>
      <c r="H18" s="16">
        <v>2020</v>
      </c>
      <c r="I18" s="16">
        <v>2020</v>
      </c>
      <c r="J18" s="65">
        <f>I18-H18</f>
        <v>0</v>
      </c>
      <c r="K18" s="16">
        <v>0</v>
      </c>
      <c r="L18" s="65">
        <v>0</v>
      </c>
    </row>
    <row r="19" spans="2:12" ht="14.25">
      <c r="B19" s="137"/>
      <c r="C19" s="62"/>
      <c r="D19" s="42"/>
      <c r="E19" s="42"/>
      <c r="F19" s="42"/>
      <c r="G19" s="84"/>
      <c r="H19" s="42"/>
      <c r="I19" s="42"/>
      <c r="J19" s="84"/>
      <c r="K19" s="42"/>
      <c r="L19" s="84"/>
    </row>
    <row r="20" spans="2:12" ht="14.25">
      <c r="B20" s="255" t="s">
        <v>285</v>
      </c>
      <c r="C20" s="66">
        <v>0</v>
      </c>
      <c r="D20" s="16">
        <v>0</v>
      </c>
      <c r="E20" s="16">
        <v>1095</v>
      </c>
      <c r="F20" s="16">
        <v>1095</v>
      </c>
      <c r="G20" s="65">
        <f>F20-E20</f>
        <v>0</v>
      </c>
      <c r="H20" s="16">
        <v>1191</v>
      </c>
      <c r="I20" s="16">
        <v>1191</v>
      </c>
      <c r="J20" s="65">
        <f>I20-H20</f>
        <v>0</v>
      </c>
      <c r="K20" s="16">
        <v>0</v>
      </c>
      <c r="L20" s="65">
        <v>0</v>
      </c>
    </row>
    <row r="21" spans="2:12" ht="14.25">
      <c r="B21" s="137"/>
      <c r="C21" s="62"/>
      <c r="D21" s="42"/>
      <c r="E21" s="42"/>
      <c r="F21" s="42"/>
      <c r="G21" s="84"/>
      <c r="H21" s="42"/>
      <c r="I21" s="42"/>
      <c r="J21" s="84"/>
      <c r="K21" s="42"/>
      <c r="L21" s="84"/>
    </row>
    <row r="22" spans="2:12" ht="14.25">
      <c r="B22" s="253" t="s">
        <v>187</v>
      </c>
      <c r="C22" s="62"/>
      <c r="D22" s="42"/>
      <c r="E22" s="42"/>
      <c r="F22" s="42"/>
      <c r="G22" s="84"/>
      <c r="H22" s="42"/>
      <c r="I22" s="42"/>
      <c r="J22" s="84"/>
      <c r="K22" s="42"/>
      <c r="L22" s="84"/>
    </row>
    <row r="23" spans="2:12" ht="14.25">
      <c r="B23" s="253"/>
      <c r="C23" s="62"/>
      <c r="D23" s="42"/>
      <c r="E23" s="42"/>
      <c r="F23" s="42"/>
      <c r="G23" s="84"/>
      <c r="H23" s="42"/>
      <c r="I23" s="42"/>
      <c r="J23" s="84"/>
      <c r="K23" s="42"/>
      <c r="L23" s="84"/>
    </row>
    <row r="24" spans="2:12" ht="14.25">
      <c r="B24" s="137" t="s">
        <v>150</v>
      </c>
      <c r="C24" s="115"/>
      <c r="D24" s="11"/>
      <c r="E24" s="11"/>
      <c r="F24" s="11"/>
      <c r="G24" s="59"/>
      <c r="H24" s="11"/>
      <c r="I24" s="11"/>
      <c r="J24" s="59"/>
      <c r="K24" s="11"/>
      <c r="L24" s="59"/>
    </row>
    <row r="25" spans="2:12" ht="14.25">
      <c r="B25" s="258" t="s">
        <v>212</v>
      </c>
      <c r="C25" s="115">
        <v>800</v>
      </c>
      <c r="D25" s="11">
        <v>800</v>
      </c>
      <c r="E25" s="11">
        <v>800</v>
      </c>
      <c r="F25" s="11">
        <f>800-700</f>
        <v>100</v>
      </c>
      <c r="G25" s="59">
        <f aca="true" t="shared" si="1" ref="G25:G43">F25-E25</f>
        <v>-700</v>
      </c>
      <c r="H25" s="11">
        <f>2400</f>
        <v>2400</v>
      </c>
      <c r="I25" s="11">
        <f>2400+700</f>
        <v>3100</v>
      </c>
      <c r="J25" s="59">
        <f aca="true" t="shared" si="2" ref="J25:J43">I25-H25</f>
        <v>700</v>
      </c>
      <c r="K25" s="11">
        <v>1280</v>
      </c>
      <c r="L25" s="59">
        <v>0</v>
      </c>
    </row>
    <row r="26" spans="2:12" ht="14.25">
      <c r="B26" s="258" t="s">
        <v>286</v>
      </c>
      <c r="C26" s="115">
        <v>0</v>
      </c>
      <c r="D26" s="11">
        <v>0</v>
      </c>
      <c r="E26" s="11">
        <v>3420</v>
      </c>
      <c r="F26" s="11">
        <v>3420</v>
      </c>
      <c r="G26" s="59">
        <f t="shared" si="1"/>
        <v>0</v>
      </c>
      <c r="H26" s="11">
        <v>0</v>
      </c>
      <c r="I26" s="11">
        <v>0</v>
      </c>
      <c r="J26" s="59">
        <f t="shared" si="2"/>
        <v>0</v>
      </c>
      <c r="K26" s="11">
        <v>0</v>
      </c>
      <c r="L26" s="59">
        <v>0</v>
      </c>
    </row>
    <row r="27" spans="2:12" ht="25.5">
      <c r="B27" s="290" t="s">
        <v>290</v>
      </c>
      <c r="C27" s="115">
        <v>0</v>
      </c>
      <c r="D27" s="11">
        <v>0</v>
      </c>
      <c r="E27" s="11">
        <v>0</v>
      </c>
      <c r="F27" s="11">
        <v>398</v>
      </c>
      <c r="G27" s="59">
        <f t="shared" si="1"/>
        <v>398</v>
      </c>
      <c r="H27" s="11">
        <v>0</v>
      </c>
      <c r="I27" s="11">
        <v>0</v>
      </c>
      <c r="J27" s="59">
        <f t="shared" si="2"/>
        <v>0</v>
      </c>
      <c r="K27" s="11">
        <v>0</v>
      </c>
      <c r="L27" s="59">
        <v>0</v>
      </c>
    </row>
    <row r="28" spans="2:12" ht="14.25">
      <c r="B28" s="258" t="s">
        <v>243</v>
      </c>
      <c r="C28" s="115">
        <f>2000-1000</f>
        <v>1000</v>
      </c>
      <c r="D28" s="11">
        <v>1000</v>
      </c>
      <c r="E28" s="11">
        <v>1000</v>
      </c>
      <c r="F28" s="11">
        <v>1000</v>
      </c>
      <c r="G28" s="59">
        <f t="shared" si="1"/>
        <v>0</v>
      </c>
      <c r="H28" s="11">
        <v>0</v>
      </c>
      <c r="I28" s="11">
        <v>0</v>
      </c>
      <c r="J28" s="59">
        <f t="shared" si="2"/>
        <v>0</v>
      </c>
      <c r="K28" s="11">
        <v>0</v>
      </c>
      <c r="L28" s="59">
        <v>0</v>
      </c>
    </row>
    <row r="29" spans="2:12" ht="14.25">
      <c r="B29" s="258" t="s">
        <v>244</v>
      </c>
      <c r="C29" s="115">
        <f>1500-100</f>
        <v>1400</v>
      </c>
      <c r="D29" s="11">
        <v>1400</v>
      </c>
      <c r="E29" s="11">
        <v>1400</v>
      </c>
      <c r="F29" s="11">
        <f>1400-400</f>
        <v>1000</v>
      </c>
      <c r="G29" s="59">
        <f t="shared" si="1"/>
        <v>-400</v>
      </c>
      <c r="H29" s="11">
        <v>0</v>
      </c>
      <c r="I29" s="11">
        <f>400</f>
        <v>400</v>
      </c>
      <c r="J29" s="59">
        <f t="shared" si="2"/>
        <v>400</v>
      </c>
      <c r="K29" s="11">
        <v>0</v>
      </c>
      <c r="L29" s="59">
        <v>0</v>
      </c>
    </row>
    <row r="30" spans="2:12" ht="14.25">
      <c r="B30" s="258" t="s">
        <v>98</v>
      </c>
      <c r="C30" s="115">
        <f>5400+150-2550</f>
        <v>3000</v>
      </c>
      <c r="D30" s="11">
        <v>2755</v>
      </c>
      <c r="E30" s="11">
        <v>2755</v>
      </c>
      <c r="F30" s="11">
        <f>2755-115-1644</f>
        <v>996</v>
      </c>
      <c r="G30" s="59">
        <f t="shared" si="1"/>
        <v>-1759</v>
      </c>
      <c r="H30" s="11">
        <f>4500+500</f>
        <v>5000</v>
      </c>
      <c r="I30" s="11">
        <f>4500+500+1759</f>
        <v>6759</v>
      </c>
      <c r="J30" s="59">
        <f t="shared" si="2"/>
        <v>1759</v>
      </c>
      <c r="K30" s="11">
        <v>1500</v>
      </c>
      <c r="L30" s="59">
        <v>400</v>
      </c>
    </row>
    <row r="31" spans="2:12" ht="14.25">
      <c r="B31" s="258" t="s">
        <v>242</v>
      </c>
      <c r="C31" s="115">
        <f>500+600-500</f>
        <v>600</v>
      </c>
      <c r="D31" s="11">
        <v>324</v>
      </c>
      <c r="E31" s="11">
        <v>324</v>
      </c>
      <c r="F31" s="11">
        <f>324-22+10</f>
        <v>312</v>
      </c>
      <c r="G31" s="59">
        <f t="shared" si="1"/>
        <v>-12</v>
      </c>
      <c r="H31" s="11">
        <v>5000</v>
      </c>
      <c r="I31" s="11">
        <f>5000+12</f>
        <v>5012</v>
      </c>
      <c r="J31" s="59">
        <f t="shared" si="2"/>
        <v>12</v>
      </c>
      <c r="K31" s="11">
        <v>0</v>
      </c>
      <c r="L31" s="59">
        <v>0</v>
      </c>
    </row>
    <row r="32" spans="2:12" ht="14.25">
      <c r="B32" s="258" t="s">
        <v>100</v>
      </c>
      <c r="C32" s="115">
        <f>500-200</f>
        <v>300</v>
      </c>
      <c r="D32" s="11">
        <v>300</v>
      </c>
      <c r="E32" s="11">
        <v>300</v>
      </c>
      <c r="F32" s="11">
        <v>300</v>
      </c>
      <c r="G32" s="59">
        <f t="shared" si="1"/>
        <v>0</v>
      </c>
      <c r="H32" s="11">
        <v>0</v>
      </c>
      <c r="I32" s="11">
        <v>0</v>
      </c>
      <c r="J32" s="59">
        <f t="shared" si="2"/>
        <v>0</v>
      </c>
      <c r="K32" s="11">
        <v>0</v>
      </c>
      <c r="L32" s="59">
        <f>500+250</f>
        <v>750</v>
      </c>
    </row>
    <row r="33" spans="2:12" ht="14.25">
      <c r="B33" s="258" t="s">
        <v>103</v>
      </c>
      <c r="C33" s="115">
        <v>0</v>
      </c>
      <c r="D33" s="11">
        <v>0</v>
      </c>
      <c r="E33" s="11">
        <v>0</v>
      </c>
      <c r="F33" s="11">
        <v>0</v>
      </c>
      <c r="G33" s="59">
        <f t="shared" si="1"/>
        <v>0</v>
      </c>
      <c r="H33" s="11">
        <v>0</v>
      </c>
      <c r="I33" s="11">
        <v>0</v>
      </c>
      <c r="J33" s="59">
        <f t="shared" si="2"/>
        <v>0</v>
      </c>
      <c r="K33" s="11">
        <v>150</v>
      </c>
      <c r="L33" s="59">
        <v>0</v>
      </c>
    </row>
    <row r="34" spans="2:12" ht="14.25">
      <c r="B34" s="258" t="s">
        <v>104</v>
      </c>
      <c r="C34" s="115">
        <f>40+20-20</f>
        <v>40</v>
      </c>
      <c r="D34" s="11">
        <v>40</v>
      </c>
      <c r="E34" s="11">
        <v>40</v>
      </c>
      <c r="F34" s="11">
        <v>40</v>
      </c>
      <c r="G34" s="59">
        <f t="shared" si="1"/>
        <v>0</v>
      </c>
      <c r="H34" s="11">
        <v>40</v>
      </c>
      <c r="I34" s="11">
        <v>40</v>
      </c>
      <c r="J34" s="59">
        <f t="shared" si="2"/>
        <v>0</v>
      </c>
      <c r="K34" s="11">
        <f>40+40</f>
        <v>80</v>
      </c>
      <c r="L34" s="59">
        <v>40</v>
      </c>
    </row>
    <row r="35" spans="2:12" ht="14.25">
      <c r="B35" s="135" t="s">
        <v>214</v>
      </c>
      <c r="C35" s="115">
        <v>0</v>
      </c>
      <c r="D35" s="11">
        <v>250</v>
      </c>
      <c r="E35" s="11">
        <v>250</v>
      </c>
      <c r="F35" s="11">
        <v>250</v>
      </c>
      <c r="G35" s="59">
        <f t="shared" si="1"/>
        <v>0</v>
      </c>
      <c r="H35" s="11">
        <v>0</v>
      </c>
      <c r="I35" s="11">
        <v>0</v>
      </c>
      <c r="J35" s="59">
        <f t="shared" si="2"/>
        <v>0</v>
      </c>
      <c r="K35" s="11">
        <v>0</v>
      </c>
      <c r="L35" s="59">
        <v>0</v>
      </c>
    </row>
    <row r="36" spans="2:12" ht="14.25">
      <c r="B36" s="131" t="s">
        <v>168</v>
      </c>
      <c r="C36" s="115">
        <v>30</v>
      </c>
      <c r="D36" s="11">
        <v>30</v>
      </c>
      <c r="E36" s="11">
        <v>30</v>
      </c>
      <c r="F36" s="11">
        <f>30+7</f>
        <v>37</v>
      </c>
      <c r="G36" s="59">
        <f t="shared" si="1"/>
        <v>7</v>
      </c>
      <c r="H36" s="11">
        <v>0</v>
      </c>
      <c r="I36" s="11">
        <v>0</v>
      </c>
      <c r="J36" s="59">
        <f t="shared" si="2"/>
        <v>0</v>
      </c>
      <c r="K36" s="11">
        <v>0</v>
      </c>
      <c r="L36" s="59">
        <v>0</v>
      </c>
    </row>
    <row r="37" spans="2:12" ht="14.25">
      <c r="B37" s="131" t="s">
        <v>169</v>
      </c>
      <c r="C37" s="115">
        <v>137</v>
      </c>
      <c r="D37" s="11">
        <v>137</v>
      </c>
      <c r="E37" s="11">
        <v>137</v>
      </c>
      <c r="F37" s="11">
        <f>137-2</f>
        <v>135</v>
      </c>
      <c r="G37" s="59">
        <f t="shared" si="1"/>
        <v>-2</v>
      </c>
      <c r="H37" s="11">
        <v>0</v>
      </c>
      <c r="I37" s="11">
        <f>2</f>
        <v>2</v>
      </c>
      <c r="J37" s="59">
        <f t="shared" si="2"/>
        <v>2</v>
      </c>
      <c r="K37" s="11">
        <v>0</v>
      </c>
      <c r="L37" s="59">
        <v>0</v>
      </c>
    </row>
    <row r="38" spans="2:12" ht="14.25">
      <c r="B38" s="131" t="s">
        <v>170</v>
      </c>
      <c r="C38" s="115">
        <f>28+84</f>
        <v>112</v>
      </c>
      <c r="D38" s="11">
        <v>112</v>
      </c>
      <c r="E38" s="11">
        <v>112</v>
      </c>
      <c r="F38" s="11">
        <f>112-62</f>
        <v>50</v>
      </c>
      <c r="G38" s="59">
        <f t="shared" si="1"/>
        <v>-62</v>
      </c>
      <c r="H38" s="11">
        <v>0</v>
      </c>
      <c r="I38" s="11">
        <f>62</f>
        <v>62</v>
      </c>
      <c r="J38" s="59">
        <f t="shared" si="2"/>
        <v>62</v>
      </c>
      <c r="K38" s="11">
        <v>0</v>
      </c>
      <c r="L38" s="59">
        <v>0</v>
      </c>
    </row>
    <row r="39" spans="2:12" ht="14.25">
      <c r="B39" s="131" t="s">
        <v>171</v>
      </c>
      <c r="C39" s="115">
        <f>30</f>
        <v>30</v>
      </c>
      <c r="D39" s="11">
        <v>31</v>
      </c>
      <c r="E39" s="11">
        <v>31</v>
      </c>
      <c r="F39" s="11">
        <f>31-31</f>
        <v>0</v>
      </c>
      <c r="G39" s="59">
        <f t="shared" si="1"/>
        <v>-31</v>
      </c>
      <c r="H39" s="11">
        <v>0</v>
      </c>
      <c r="I39" s="11">
        <f>31</f>
        <v>31</v>
      </c>
      <c r="J39" s="59">
        <f t="shared" si="2"/>
        <v>31</v>
      </c>
      <c r="K39" s="11">
        <v>0</v>
      </c>
      <c r="L39" s="59">
        <v>0</v>
      </c>
    </row>
    <row r="40" spans="2:12" ht="14.25">
      <c r="B40" s="131" t="s">
        <v>177</v>
      </c>
      <c r="C40" s="115">
        <f>19+10</f>
        <v>29</v>
      </c>
      <c r="D40" s="11">
        <v>29</v>
      </c>
      <c r="E40" s="11">
        <v>29</v>
      </c>
      <c r="F40" s="11">
        <f>29+2</f>
        <v>31</v>
      </c>
      <c r="G40" s="59">
        <f t="shared" si="1"/>
        <v>2</v>
      </c>
      <c r="H40" s="11">
        <v>0</v>
      </c>
      <c r="I40" s="11">
        <v>0</v>
      </c>
      <c r="J40" s="59">
        <f t="shared" si="2"/>
        <v>0</v>
      </c>
      <c r="K40" s="11">
        <v>0</v>
      </c>
      <c r="L40" s="59">
        <v>0</v>
      </c>
    </row>
    <row r="41" spans="2:12" ht="14.25">
      <c r="B41" s="131" t="s">
        <v>172</v>
      </c>
      <c r="C41" s="115">
        <v>120</v>
      </c>
      <c r="D41" s="11">
        <v>120</v>
      </c>
      <c r="E41" s="11">
        <v>120</v>
      </c>
      <c r="F41" s="11">
        <f>120-50</f>
        <v>70</v>
      </c>
      <c r="G41" s="59">
        <f t="shared" si="1"/>
        <v>-50</v>
      </c>
      <c r="H41" s="11">
        <v>0</v>
      </c>
      <c r="I41" s="11">
        <f>50</f>
        <v>50</v>
      </c>
      <c r="J41" s="59">
        <f t="shared" si="2"/>
        <v>50</v>
      </c>
      <c r="K41" s="11">
        <v>0</v>
      </c>
      <c r="L41" s="59">
        <v>0</v>
      </c>
    </row>
    <row r="42" spans="2:12" ht="14.25">
      <c r="B42" s="131" t="s">
        <v>173</v>
      </c>
      <c r="C42" s="115">
        <f>200</f>
        <v>200</v>
      </c>
      <c r="D42" s="11">
        <v>250</v>
      </c>
      <c r="E42" s="11">
        <v>250</v>
      </c>
      <c r="F42" s="11">
        <f>250-100</f>
        <v>150</v>
      </c>
      <c r="G42" s="59">
        <f t="shared" si="1"/>
        <v>-100</v>
      </c>
      <c r="H42" s="11">
        <v>0</v>
      </c>
      <c r="I42" s="11">
        <f>100</f>
        <v>100</v>
      </c>
      <c r="J42" s="59">
        <f t="shared" si="2"/>
        <v>100</v>
      </c>
      <c r="K42" s="11">
        <v>0</v>
      </c>
      <c r="L42" s="59">
        <v>0</v>
      </c>
    </row>
    <row r="43" spans="2:12" ht="14.25">
      <c r="B43" s="131" t="s">
        <v>245</v>
      </c>
      <c r="C43" s="115">
        <v>200</v>
      </c>
      <c r="D43" s="11">
        <v>261</v>
      </c>
      <c r="E43" s="11">
        <v>261</v>
      </c>
      <c r="F43" s="11">
        <v>261</v>
      </c>
      <c r="G43" s="59">
        <f t="shared" si="1"/>
        <v>0</v>
      </c>
      <c r="H43" s="11">
        <v>0</v>
      </c>
      <c r="I43" s="11">
        <v>0</v>
      </c>
      <c r="J43" s="59">
        <f t="shared" si="2"/>
        <v>0</v>
      </c>
      <c r="K43" s="11">
        <v>0</v>
      </c>
      <c r="L43" s="59">
        <v>0</v>
      </c>
    </row>
    <row r="44" spans="2:12" ht="14.25">
      <c r="B44" s="273" t="s">
        <v>149</v>
      </c>
      <c r="C44" s="115"/>
      <c r="D44" s="11"/>
      <c r="E44" s="11"/>
      <c r="F44" s="11"/>
      <c r="G44" s="59"/>
      <c r="H44" s="11"/>
      <c r="I44" s="11"/>
      <c r="J44" s="59"/>
      <c r="K44" s="11"/>
      <c r="L44" s="59"/>
    </row>
    <row r="45" spans="2:12" ht="14.25">
      <c r="B45" s="271" t="s">
        <v>178</v>
      </c>
      <c r="C45" s="115"/>
      <c r="D45" s="11"/>
      <c r="E45" s="11"/>
      <c r="F45" s="11"/>
      <c r="G45" s="59"/>
      <c r="H45" s="11"/>
      <c r="I45" s="11"/>
      <c r="J45" s="59"/>
      <c r="K45" s="11"/>
      <c r="L45" s="59"/>
    </row>
    <row r="46" spans="2:12" ht="14.25">
      <c r="B46" s="291" t="s">
        <v>156</v>
      </c>
      <c r="C46" s="115">
        <v>11</v>
      </c>
      <c r="D46" s="11">
        <v>28</v>
      </c>
      <c r="E46" s="11">
        <v>28</v>
      </c>
      <c r="F46" s="11">
        <f>28-2</f>
        <v>26</v>
      </c>
      <c r="G46" s="59">
        <f aca="true" t="shared" si="3" ref="G46:G67">F46-E46</f>
        <v>-2</v>
      </c>
      <c r="H46" s="11">
        <v>0</v>
      </c>
      <c r="I46" s="11">
        <f>2</f>
        <v>2</v>
      </c>
      <c r="J46" s="59">
        <f aca="true" t="shared" si="4" ref="J46:J67">I46-H46</f>
        <v>2</v>
      </c>
      <c r="K46" s="11">
        <v>0</v>
      </c>
      <c r="L46" s="59">
        <v>0</v>
      </c>
    </row>
    <row r="47" spans="2:12" ht="14.25">
      <c r="B47" s="291" t="s">
        <v>157</v>
      </c>
      <c r="C47" s="115">
        <v>8</v>
      </c>
      <c r="D47" s="11">
        <v>31</v>
      </c>
      <c r="E47" s="11">
        <v>31</v>
      </c>
      <c r="F47" s="11">
        <f>31+1</f>
        <v>32</v>
      </c>
      <c r="G47" s="59">
        <f t="shared" si="3"/>
        <v>1</v>
      </c>
      <c r="H47" s="11">
        <v>0</v>
      </c>
      <c r="I47" s="11">
        <v>0</v>
      </c>
      <c r="J47" s="59">
        <f t="shared" si="4"/>
        <v>0</v>
      </c>
      <c r="K47" s="11">
        <v>0</v>
      </c>
      <c r="L47" s="59">
        <v>0</v>
      </c>
    </row>
    <row r="48" spans="2:12" ht="14.25">
      <c r="B48" s="291" t="s">
        <v>158</v>
      </c>
      <c r="C48" s="115">
        <f>400+200-591</f>
        <v>9</v>
      </c>
      <c r="D48" s="11">
        <v>41</v>
      </c>
      <c r="E48" s="11">
        <v>41</v>
      </c>
      <c r="F48" s="11">
        <f>41-7</f>
        <v>34</v>
      </c>
      <c r="G48" s="59">
        <f t="shared" si="3"/>
        <v>-7</v>
      </c>
      <c r="H48" s="11">
        <v>0</v>
      </c>
      <c r="I48" s="11">
        <f>7</f>
        <v>7</v>
      </c>
      <c r="J48" s="59">
        <f t="shared" si="4"/>
        <v>7</v>
      </c>
      <c r="K48" s="11">
        <v>0</v>
      </c>
      <c r="L48" s="59">
        <v>0</v>
      </c>
    </row>
    <row r="49" spans="2:12" ht="14.25">
      <c r="B49" s="291" t="s">
        <v>159</v>
      </c>
      <c r="C49" s="115">
        <v>0</v>
      </c>
      <c r="D49" s="11">
        <v>1</v>
      </c>
      <c r="E49" s="11">
        <v>1</v>
      </c>
      <c r="F49" s="11">
        <f>1-1</f>
        <v>0</v>
      </c>
      <c r="G49" s="59">
        <f t="shared" si="3"/>
        <v>-1</v>
      </c>
      <c r="H49" s="11">
        <v>0</v>
      </c>
      <c r="I49" s="11">
        <f>1</f>
        <v>1</v>
      </c>
      <c r="J49" s="59">
        <f t="shared" si="4"/>
        <v>1</v>
      </c>
      <c r="K49" s="11">
        <v>0</v>
      </c>
      <c r="L49" s="59">
        <v>0</v>
      </c>
    </row>
    <row r="50" spans="2:12" ht="14.25">
      <c r="B50" s="291" t="s">
        <v>160</v>
      </c>
      <c r="C50" s="115">
        <v>3</v>
      </c>
      <c r="D50" s="11">
        <v>8</v>
      </c>
      <c r="E50" s="11">
        <v>8</v>
      </c>
      <c r="F50" s="11">
        <f>8-5</f>
        <v>3</v>
      </c>
      <c r="G50" s="59">
        <f t="shared" si="3"/>
        <v>-5</v>
      </c>
      <c r="H50" s="11">
        <v>0</v>
      </c>
      <c r="I50" s="11">
        <f>5</f>
        <v>5</v>
      </c>
      <c r="J50" s="59">
        <f t="shared" si="4"/>
        <v>5</v>
      </c>
      <c r="K50" s="11">
        <v>0</v>
      </c>
      <c r="L50" s="59">
        <v>0</v>
      </c>
    </row>
    <row r="51" spans="2:12" ht="14.25">
      <c r="B51" s="291" t="s">
        <v>78</v>
      </c>
      <c r="C51" s="115">
        <f>150+300-450+150</f>
        <v>150</v>
      </c>
      <c r="D51" s="11">
        <v>152</v>
      </c>
      <c r="E51" s="11">
        <v>152</v>
      </c>
      <c r="F51" s="11">
        <f>152+125</f>
        <v>277</v>
      </c>
      <c r="G51" s="59">
        <f t="shared" si="3"/>
        <v>125</v>
      </c>
      <c r="H51" s="11">
        <v>300</v>
      </c>
      <c r="I51" s="11">
        <v>300</v>
      </c>
      <c r="J51" s="59">
        <f t="shared" si="4"/>
        <v>0</v>
      </c>
      <c r="K51" s="11">
        <v>0</v>
      </c>
      <c r="L51" s="59">
        <v>0</v>
      </c>
    </row>
    <row r="52" spans="2:12" ht="14.25">
      <c r="B52" s="291" t="s">
        <v>161</v>
      </c>
      <c r="C52" s="115">
        <f>270-261</f>
        <v>9</v>
      </c>
      <c r="D52" s="11">
        <v>22</v>
      </c>
      <c r="E52" s="11">
        <v>22</v>
      </c>
      <c r="F52" s="11">
        <f>22+30</f>
        <v>52</v>
      </c>
      <c r="G52" s="59">
        <f t="shared" si="3"/>
        <v>30</v>
      </c>
      <c r="H52" s="11">
        <v>0</v>
      </c>
      <c r="I52" s="11">
        <v>0</v>
      </c>
      <c r="J52" s="59">
        <f t="shared" si="4"/>
        <v>0</v>
      </c>
      <c r="K52" s="11">
        <v>270</v>
      </c>
      <c r="L52" s="59">
        <v>0</v>
      </c>
    </row>
    <row r="53" spans="2:12" ht="14.25">
      <c r="B53" s="291" t="s">
        <v>165</v>
      </c>
      <c r="C53" s="115">
        <v>0</v>
      </c>
      <c r="D53" s="11">
        <v>30</v>
      </c>
      <c r="E53" s="11">
        <v>30</v>
      </c>
      <c r="F53" s="11">
        <v>30</v>
      </c>
      <c r="G53" s="59">
        <f t="shared" si="3"/>
        <v>0</v>
      </c>
      <c r="H53" s="11">
        <v>0</v>
      </c>
      <c r="I53" s="11">
        <v>0</v>
      </c>
      <c r="J53" s="59">
        <f t="shared" si="4"/>
        <v>0</v>
      </c>
      <c r="K53" s="11">
        <v>0</v>
      </c>
      <c r="L53" s="59">
        <v>0</v>
      </c>
    </row>
    <row r="54" spans="2:12" ht="14.25">
      <c r="B54" s="291" t="s">
        <v>101</v>
      </c>
      <c r="C54" s="115">
        <v>372</v>
      </c>
      <c r="D54" s="11">
        <v>441</v>
      </c>
      <c r="E54" s="11">
        <v>441</v>
      </c>
      <c r="F54" s="11">
        <f>441-56</f>
        <v>385</v>
      </c>
      <c r="G54" s="59">
        <f t="shared" si="3"/>
        <v>-56</v>
      </c>
      <c r="H54" s="11">
        <f>200+172</f>
        <v>372</v>
      </c>
      <c r="I54" s="11">
        <f>200+172+56</f>
        <v>428</v>
      </c>
      <c r="J54" s="59">
        <f t="shared" si="4"/>
        <v>56</v>
      </c>
      <c r="K54" s="11">
        <v>0</v>
      </c>
      <c r="L54" s="59">
        <v>0</v>
      </c>
    </row>
    <row r="55" spans="2:12" ht="14.25">
      <c r="B55" s="267" t="s">
        <v>166</v>
      </c>
      <c r="C55" s="115">
        <v>0</v>
      </c>
      <c r="D55" s="11">
        <v>59</v>
      </c>
      <c r="E55" s="11">
        <v>59</v>
      </c>
      <c r="F55" s="11">
        <v>59</v>
      </c>
      <c r="G55" s="59">
        <f t="shared" si="3"/>
        <v>0</v>
      </c>
      <c r="H55" s="11">
        <v>0</v>
      </c>
      <c r="I55" s="11">
        <v>0</v>
      </c>
      <c r="J55" s="59">
        <f t="shared" si="4"/>
        <v>0</v>
      </c>
      <c r="K55" s="11">
        <v>0</v>
      </c>
      <c r="L55" s="59">
        <v>0</v>
      </c>
    </row>
    <row r="56" spans="2:12" ht="14.25">
      <c r="B56" s="258" t="s">
        <v>167</v>
      </c>
      <c r="C56" s="115">
        <f>250+100+200+1069+500</f>
        <v>2119</v>
      </c>
      <c r="D56" s="11">
        <v>1766</v>
      </c>
      <c r="E56" s="11">
        <v>1766</v>
      </c>
      <c r="F56" s="11">
        <f>1766-444</f>
        <v>1322</v>
      </c>
      <c r="G56" s="292">
        <f t="shared" si="3"/>
        <v>-444</v>
      </c>
      <c r="H56" s="11">
        <v>300</v>
      </c>
      <c r="I56" s="11">
        <f>300+444-7-2-1-125-30</f>
        <v>579</v>
      </c>
      <c r="J56" s="59">
        <f t="shared" si="4"/>
        <v>279</v>
      </c>
      <c r="K56" s="11">
        <v>390</v>
      </c>
      <c r="L56" s="59">
        <v>3000</v>
      </c>
    </row>
    <row r="57" spans="2:12" ht="14.25">
      <c r="B57" s="135" t="s">
        <v>97</v>
      </c>
      <c r="C57" s="115">
        <v>30</v>
      </c>
      <c r="D57" s="11">
        <v>45</v>
      </c>
      <c r="E57" s="11">
        <v>45</v>
      </c>
      <c r="F57" s="11">
        <f>45-15</f>
        <v>30</v>
      </c>
      <c r="G57" s="59">
        <f t="shared" si="3"/>
        <v>-15</v>
      </c>
      <c r="H57" s="11">
        <v>40</v>
      </c>
      <c r="I57" s="11">
        <f>40+15</f>
        <v>55</v>
      </c>
      <c r="J57" s="59">
        <f t="shared" si="4"/>
        <v>15</v>
      </c>
      <c r="K57" s="11">
        <v>40</v>
      </c>
      <c r="L57" s="59">
        <f>40+300</f>
        <v>340</v>
      </c>
    </row>
    <row r="58" spans="2:12" ht="14.25">
      <c r="B58" s="271" t="s">
        <v>152</v>
      </c>
      <c r="C58" s="115"/>
      <c r="D58" s="11"/>
      <c r="E58" s="11"/>
      <c r="F58" s="11"/>
      <c r="G58" s="59"/>
      <c r="H58" s="11"/>
      <c r="I58" s="11"/>
      <c r="J58" s="59"/>
      <c r="K58" s="11"/>
      <c r="L58" s="59"/>
    </row>
    <row r="59" spans="2:12" ht="14.25">
      <c r="B59" s="267" t="s">
        <v>153</v>
      </c>
      <c r="C59" s="115">
        <f>892+115-7-200</f>
        <v>800</v>
      </c>
      <c r="D59" s="11">
        <v>794</v>
      </c>
      <c r="E59" s="11">
        <v>794</v>
      </c>
      <c r="F59" s="11">
        <f>794+6</f>
        <v>800</v>
      </c>
      <c r="G59" s="59">
        <f t="shared" si="3"/>
        <v>6</v>
      </c>
      <c r="H59" s="11">
        <f>332+381-332</f>
        <v>381</v>
      </c>
      <c r="I59" s="11">
        <f>332+381-332-6</f>
        <v>375</v>
      </c>
      <c r="J59" s="59">
        <f t="shared" si="4"/>
        <v>-6</v>
      </c>
      <c r="K59" s="11">
        <v>200</v>
      </c>
      <c r="L59" s="59">
        <v>0</v>
      </c>
    </row>
    <row r="60" spans="2:12" ht="14.25">
      <c r="B60" s="267" t="s">
        <v>154</v>
      </c>
      <c r="C60" s="115">
        <v>0</v>
      </c>
      <c r="D60" s="11">
        <v>2</v>
      </c>
      <c r="E60" s="11">
        <v>2</v>
      </c>
      <c r="F60" s="11">
        <f>2-2</f>
        <v>0</v>
      </c>
      <c r="G60" s="59">
        <f t="shared" si="3"/>
        <v>-2</v>
      </c>
      <c r="H60" s="11">
        <v>0</v>
      </c>
      <c r="I60" s="11">
        <f>2</f>
        <v>2</v>
      </c>
      <c r="J60" s="59">
        <f t="shared" si="4"/>
        <v>2</v>
      </c>
      <c r="K60" s="11">
        <v>0</v>
      </c>
      <c r="L60" s="59">
        <v>0</v>
      </c>
    </row>
    <row r="61" spans="2:12" ht="14.25">
      <c r="B61" s="267" t="s">
        <v>155</v>
      </c>
      <c r="C61" s="115">
        <v>150</v>
      </c>
      <c r="D61" s="11">
        <v>150</v>
      </c>
      <c r="E61" s="11">
        <v>150</v>
      </c>
      <c r="F61" s="11">
        <v>150</v>
      </c>
      <c r="G61" s="59">
        <f t="shared" si="3"/>
        <v>0</v>
      </c>
      <c r="H61" s="11">
        <v>0</v>
      </c>
      <c r="I61" s="11">
        <v>0</v>
      </c>
      <c r="J61" s="59">
        <f t="shared" si="4"/>
        <v>0</v>
      </c>
      <c r="K61" s="11">
        <v>0</v>
      </c>
      <c r="L61" s="59">
        <v>0</v>
      </c>
    </row>
    <row r="62" spans="2:12" ht="14.25">
      <c r="B62" s="291" t="s">
        <v>179</v>
      </c>
      <c r="C62" s="115">
        <f>200+720-620</f>
        <v>300</v>
      </c>
      <c r="D62" s="11">
        <v>300</v>
      </c>
      <c r="E62" s="11">
        <v>300</v>
      </c>
      <c r="F62" s="11">
        <f>300-200</f>
        <v>100</v>
      </c>
      <c r="G62" s="59">
        <f t="shared" si="3"/>
        <v>-200</v>
      </c>
      <c r="H62" s="11">
        <v>0</v>
      </c>
      <c r="I62" s="11">
        <f>200</f>
        <v>200</v>
      </c>
      <c r="J62" s="59">
        <f t="shared" si="4"/>
        <v>200</v>
      </c>
      <c r="K62" s="11">
        <v>0</v>
      </c>
      <c r="L62" s="59">
        <f>1000+3000</f>
        <v>4000</v>
      </c>
    </row>
    <row r="63" spans="2:12" ht="14.25">
      <c r="B63" s="258" t="s">
        <v>176</v>
      </c>
      <c r="C63" s="115">
        <v>1143</v>
      </c>
      <c r="D63" s="11">
        <v>1480</v>
      </c>
      <c r="E63" s="11">
        <v>1480</v>
      </c>
      <c r="F63" s="11">
        <f>1480-62</f>
        <v>1418</v>
      </c>
      <c r="G63" s="59">
        <f t="shared" si="3"/>
        <v>-62</v>
      </c>
      <c r="H63" s="11">
        <v>35</v>
      </c>
      <c r="I63" s="11">
        <f>35+62</f>
        <v>97</v>
      </c>
      <c r="J63" s="59">
        <f t="shared" si="4"/>
        <v>62</v>
      </c>
      <c r="K63" s="11">
        <v>0</v>
      </c>
      <c r="L63" s="59">
        <v>0</v>
      </c>
    </row>
    <row r="64" spans="2:12" ht="14.25">
      <c r="B64" s="258" t="s">
        <v>223</v>
      </c>
      <c r="C64" s="115">
        <f>500+500+100</f>
        <v>1100</v>
      </c>
      <c r="D64" s="11">
        <v>1115</v>
      </c>
      <c r="E64" s="11">
        <v>1115</v>
      </c>
      <c r="F64" s="11">
        <f>1115+22-585</f>
        <v>552</v>
      </c>
      <c r="G64" s="59">
        <f t="shared" si="3"/>
        <v>-563</v>
      </c>
      <c r="H64" s="11">
        <f>1000+100</f>
        <v>1100</v>
      </c>
      <c r="I64" s="11">
        <f>1000+100+563</f>
        <v>1663</v>
      </c>
      <c r="J64" s="59">
        <f t="shared" si="4"/>
        <v>563</v>
      </c>
      <c r="K64" s="11">
        <v>1690</v>
      </c>
      <c r="L64" s="59">
        <v>0</v>
      </c>
    </row>
    <row r="65" spans="2:12" ht="14.25">
      <c r="B65" s="258" t="s">
        <v>99</v>
      </c>
      <c r="C65" s="115">
        <f>1000+625+155-1280</f>
        <v>500</v>
      </c>
      <c r="D65" s="11">
        <v>516</v>
      </c>
      <c r="E65" s="11">
        <v>516</v>
      </c>
      <c r="F65" s="11">
        <f>516+203</f>
        <v>719</v>
      </c>
      <c r="G65" s="59">
        <f t="shared" si="3"/>
        <v>203</v>
      </c>
      <c r="H65" s="11">
        <f>5900-775-853-1845-427</f>
        <v>2000</v>
      </c>
      <c r="I65" s="11">
        <f>5900-775-853-1845-427-203</f>
        <v>1797</v>
      </c>
      <c r="J65" s="59">
        <f t="shared" si="4"/>
        <v>-203</v>
      </c>
      <c r="K65" s="11">
        <f>1845+155+847+2306</f>
        <v>5153</v>
      </c>
      <c r="L65" s="59">
        <f>853+2300-847-2306</f>
        <v>0</v>
      </c>
    </row>
    <row r="66" spans="2:12" ht="14.25">
      <c r="B66" s="135" t="s">
        <v>102</v>
      </c>
      <c r="C66" s="115">
        <v>125</v>
      </c>
      <c r="D66" s="11">
        <v>128</v>
      </c>
      <c r="E66" s="11">
        <v>128</v>
      </c>
      <c r="F66" s="11">
        <v>128</v>
      </c>
      <c r="G66" s="59">
        <f t="shared" si="3"/>
        <v>0</v>
      </c>
      <c r="H66" s="11">
        <v>50</v>
      </c>
      <c r="I66" s="11">
        <v>50</v>
      </c>
      <c r="J66" s="59">
        <f t="shared" si="4"/>
        <v>0</v>
      </c>
      <c r="K66" s="11">
        <v>50</v>
      </c>
      <c r="L66" s="59">
        <v>100</v>
      </c>
    </row>
    <row r="67" spans="2:12" ht="14.25">
      <c r="B67" s="258" t="s">
        <v>96</v>
      </c>
      <c r="C67" s="115">
        <f>300-200</f>
        <v>100</v>
      </c>
      <c r="D67" s="11">
        <v>100</v>
      </c>
      <c r="E67" s="11">
        <v>100</v>
      </c>
      <c r="F67" s="11">
        <v>100</v>
      </c>
      <c r="G67" s="59">
        <f t="shared" si="3"/>
        <v>0</v>
      </c>
      <c r="H67" s="11">
        <v>0</v>
      </c>
      <c r="I67" s="11">
        <v>0</v>
      </c>
      <c r="J67" s="59">
        <f t="shared" si="4"/>
        <v>0</v>
      </c>
      <c r="K67" s="11">
        <v>200</v>
      </c>
      <c r="L67" s="59">
        <v>1000</v>
      </c>
    </row>
    <row r="68" spans="2:12" ht="14.25">
      <c r="B68" s="272" t="s">
        <v>151</v>
      </c>
      <c r="C68" s="66">
        <f aca="true" t="shared" si="5" ref="C68:L68">SUM(C25:C67)</f>
        <v>14927</v>
      </c>
      <c r="D68" s="8">
        <f>SUM(D25:D67)</f>
        <v>15048</v>
      </c>
      <c r="E68" s="8">
        <f>SUM(E25:E67)</f>
        <v>18468</v>
      </c>
      <c r="F68" s="8">
        <f>SUM(F25:F67)</f>
        <v>14767</v>
      </c>
      <c r="G68" s="63">
        <f>SUM(G25:G67)</f>
        <v>-3701</v>
      </c>
      <c r="H68" s="16">
        <f t="shared" si="5"/>
        <v>17018</v>
      </c>
      <c r="I68" s="16">
        <f t="shared" si="5"/>
        <v>21117</v>
      </c>
      <c r="J68" s="63">
        <f>SUM(J25:J67)</f>
        <v>4099</v>
      </c>
      <c r="K68" s="8">
        <f t="shared" si="5"/>
        <v>11003</v>
      </c>
      <c r="L68" s="65">
        <f t="shared" si="5"/>
        <v>9630</v>
      </c>
    </row>
    <row r="69" spans="1:12" ht="14.25">
      <c r="A69" s="39"/>
      <c r="B69" s="272"/>
      <c r="C69" s="279"/>
      <c r="D69" s="280"/>
      <c r="E69" s="280"/>
      <c r="F69" s="280"/>
      <c r="G69" s="65"/>
      <c r="H69" s="280"/>
      <c r="I69" s="280"/>
      <c r="J69" s="65"/>
      <c r="K69" s="16"/>
      <c r="L69" s="65"/>
    </row>
    <row r="70" spans="2:12" ht="14.25">
      <c r="B70" s="273" t="s">
        <v>145</v>
      </c>
      <c r="C70" s="115"/>
      <c r="D70" s="11"/>
      <c r="E70" s="11"/>
      <c r="F70" s="11"/>
      <c r="G70" s="59"/>
      <c r="H70" s="11"/>
      <c r="I70" s="11"/>
      <c r="J70" s="59"/>
      <c r="K70" s="11"/>
      <c r="L70" s="59"/>
    </row>
    <row r="71" spans="2:12" ht="14.25">
      <c r="B71" s="258" t="s">
        <v>146</v>
      </c>
      <c r="C71" s="115">
        <v>0</v>
      </c>
      <c r="D71" s="11">
        <v>18</v>
      </c>
      <c r="E71" s="11">
        <v>18</v>
      </c>
      <c r="F71" s="11">
        <v>18</v>
      </c>
      <c r="G71" s="59">
        <f>F71-E71</f>
        <v>0</v>
      </c>
      <c r="H71" s="11">
        <v>0</v>
      </c>
      <c r="I71" s="11">
        <v>0</v>
      </c>
      <c r="J71" s="59">
        <f>I71-H71</f>
        <v>0</v>
      </c>
      <c r="K71" s="11">
        <v>0</v>
      </c>
      <c r="L71" s="59">
        <v>0</v>
      </c>
    </row>
    <row r="72" spans="2:12" ht="14.25">
      <c r="B72" s="268" t="s">
        <v>147</v>
      </c>
      <c r="C72" s="115">
        <v>50</v>
      </c>
      <c r="D72" s="11">
        <v>530</v>
      </c>
      <c r="E72" s="11">
        <v>530</v>
      </c>
      <c r="F72" s="11">
        <v>530</v>
      </c>
      <c r="G72" s="59">
        <f>F72-E72</f>
        <v>0</v>
      </c>
      <c r="H72" s="11">
        <v>0</v>
      </c>
      <c r="I72" s="11">
        <v>0</v>
      </c>
      <c r="J72" s="59">
        <f>I72-H72</f>
        <v>0</v>
      </c>
      <c r="K72" s="11">
        <v>0</v>
      </c>
      <c r="L72" s="59">
        <v>0</v>
      </c>
    </row>
    <row r="73" spans="2:12" ht="14.25">
      <c r="B73" s="272" t="s">
        <v>148</v>
      </c>
      <c r="C73" s="66">
        <f aca="true" t="shared" si="6" ref="C73:L73">SUM(C71:C72)</f>
        <v>50</v>
      </c>
      <c r="D73" s="8">
        <f t="shared" si="6"/>
        <v>548</v>
      </c>
      <c r="E73" s="8">
        <f t="shared" si="6"/>
        <v>548</v>
      </c>
      <c r="F73" s="8">
        <f t="shared" si="6"/>
        <v>548</v>
      </c>
      <c r="G73" s="63">
        <f t="shared" si="6"/>
        <v>0</v>
      </c>
      <c r="H73" s="16">
        <f t="shared" si="6"/>
        <v>0</v>
      </c>
      <c r="I73" s="16">
        <f t="shared" si="6"/>
        <v>0</v>
      </c>
      <c r="J73" s="63">
        <f t="shared" si="6"/>
        <v>0</v>
      </c>
      <c r="K73" s="8">
        <f t="shared" si="6"/>
        <v>0</v>
      </c>
      <c r="L73" s="65">
        <f t="shared" si="6"/>
        <v>0</v>
      </c>
    </row>
    <row r="74" spans="2:12" ht="14.25">
      <c r="B74" s="274"/>
      <c r="C74" s="115"/>
      <c r="D74" s="11"/>
      <c r="E74" s="11"/>
      <c r="F74" s="11"/>
      <c r="G74" s="59"/>
      <c r="H74" s="11"/>
      <c r="I74" s="11"/>
      <c r="J74" s="59"/>
      <c r="K74" s="11"/>
      <c r="L74" s="59"/>
    </row>
    <row r="75" spans="2:12" ht="14.25">
      <c r="B75" s="255" t="s">
        <v>200</v>
      </c>
      <c r="C75" s="66">
        <f aca="true" t="shared" si="7" ref="C75:L75">C73+C68</f>
        <v>14977</v>
      </c>
      <c r="D75" s="8">
        <f>D73+D68</f>
        <v>15596</v>
      </c>
      <c r="E75" s="8">
        <f>E73+E68</f>
        <v>19016</v>
      </c>
      <c r="F75" s="8">
        <f t="shared" si="7"/>
        <v>15315</v>
      </c>
      <c r="G75" s="63">
        <f t="shared" si="7"/>
        <v>-3701</v>
      </c>
      <c r="H75" s="16">
        <f>H73+H68</f>
        <v>17018</v>
      </c>
      <c r="I75" s="16">
        <f t="shared" si="7"/>
        <v>21117</v>
      </c>
      <c r="J75" s="63">
        <f>J73+J68</f>
        <v>4099</v>
      </c>
      <c r="K75" s="8">
        <f t="shared" si="7"/>
        <v>11003</v>
      </c>
      <c r="L75" s="65">
        <f t="shared" si="7"/>
        <v>9630</v>
      </c>
    </row>
    <row r="76" spans="2:12" ht="15.75" thickBot="1">
      <c r="B76" s="256" t="s">
        <v>201</v>
      </c>
      <c r="C76" s="234">
        <f aca="true" t="shared" si="8" ref="C76:L76">C75+C11+C16+C18+C20</f>
        <v>20710</v>
      </c>
      <c r="D76" s="214">
        <f t="shared" si="8"/>
        <v>23305</v>
      </c>
      <c r="E76" s="214">
        <f t="shared" si="8"/>
        <v>27820</v>
      </c>
      <c r="F76" s="214">
        <f t="shared" si="8"/>
        <v>24188</v>
      </c>
      <c r="G76" s="214">
        <f t="shared" si="8"/>
        <v>-3632</v>
      </c>
      <c r="H76" s="234">
        <f t="shared" si="8"/>
        <v>24018</v>
      </c>
      <c r="I76" s="214">
        <f t="shared" si="8"/>
        <v>28117</v>
      </c>
      <c r="J76" s="214">
        <f t="shared" si="8"/>
        <v>4099</v>
      </c>
      <c r="K76" s="214">
        <f t="shared" si="8"/>
        <v>14463</v>
      </c>
      <c r="L76" s="281">
        <f t="shared" si="8"/>
        <v>13090</v>
      </c>
    </row>
    <row r="78" ht="14.25">
      <c r="B78" s="87"/>
    </row>
    <row r="79" ht="14.25">
      <c r="B79" s="235"/>
    </row>
    <row r="83" ht="14.25">
      <c r="B83" s="235"/>
    </row>
    <row r="85" spans="1:2" ht="14.25">
      <c r="A85" s="98"/>
      <c r="B85" s="237"/>
    </row>
    <row r="86" spans="1:2" ht="14.25">
      <c r="A86" s="98"/>
      <c r="B86" s="237"/>
    </row>
  </sheetData>
  <mergeCells count="2">
    <mergeCell ref="A3:K3"/>
    <mergeCell ref="A1:L1"/>
  </mergeCells>
  <printOptions horizontalCentered="1" verticalCentered="1"/>
  <pageMargins left="0.1968503937007874" right="0.1968503937007874" top="0.15748031496062992" bottom="0.35433070866141736" header="0.1968503937007874" footer="0.15748031496062992"/>
  <pageSetup firstPageNumber="168" useFirstPageNumber="1" horizontalDpi="600" verticalDpi="600" orientation="landscape" paperSize="9" scale="65" r:id="rId1"/>
  <headerFooter alignWithMargins="0">
    <oddHeader>&amp;R&amp;"Arial,Bold"Appendix 1
</oddHeader>
    <oddFooter>&amp;L&amp;8&amp;D&amp;T&amp;Z&amp;F</oddFooter>
  </headerFooter>
  <rowBreaks count="2" manualBreakCount="2">
    <brk id="43" max="255" man="1"/>
    <brk id="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75" zoomScaleNormal="70" zoomScaleSheetLayoutView="75" workbookViewId="0" topLeftCell="A10">
      <selection activeCell="A44" sqref="A44"/>
    </sheetView>
  </sheetViews>
  <sheetFormatPr defaultColWidth="9.140625" defaultRowHeight="12.75"/>
  <cols>
    <col min="1" max="1" width="5.7109375" style="1" customWidth="1"/>
    <col min="2" max="2" width="52.57421875" style="1" customWidth="1"/>
    <col min="3" max="3" width="14.00390625" style="2" bestFit="1" customWidth="1"/>
    <col min="4" max="4" width="14.00390625" style="2" customWidth="1"/>
    <col min="5" max="5" width="14.00390625" style="2" bestFit="1" customWidth="1"/>
    <col min="6" max="6" width="11.7109375" style="2" bestFit="1" customWidth="1"/>
    <col min="7" max="7" width="13.57421875" style="2" bestFit="1" customWidth="1"/>
    <col min="8" max="8" width="14.00390625" style="1" bestFit="1" customWidth="1"/>
    <col min="9" max="10" width="14.00390625" style="1" customWidth="1"/>
    <col min="11" max="11" width="14.00390625" style="1" bestFit="1" customWidth="1"/>
    <col min="12" max="12" width="14.00390625" style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1" ht="18">
      <c r="A3" s="310" t="s">
        <v>193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5" thickBot="1"/>
    <row r="5" spans="2:12" ht="14.25">
      <c r="B5" s="126"/>
      <c r="C5" s="283" t="s">
        <v>2</v>
      </c>
      <c r="D5" s="283" t="s">
        <v>2</v>
      </c>
      <c r="E5" s="284" t="s">
        <v>2</v>
      </c>
      <c r="F5" s="284" t="s">
        <v>2</v>
      </c>
      <c r="G5" s="285" t="s">
        <v>2</v>
      </c>
      <c r="H5" s="283" t="s">
        <v>37</v>
      </c>
      <c r="I5" s="284" t="s">
        <v>37</v>
      </c>
      <c r="J5" s="285" t="s">
        <v>37</v>
      </c>
      <c r="K5" s="284" t="s">
        <v>63</v>
      </c>
      <c r="L5" s="285" t="s">
        <v>226</v>
      </c>
    </row>
    <row r="6" spans="2:12" ht="14.25">
      <c r="B6" s="127"/>
      <c r="C6" s="109" t="s">
        <v>288</v>
      </c>
      <c r="D6" s="109" t="s">
        <v>42</v>
      </c>
      <c r="E6" s="19" t="s">
        <v>289</v>
      </c>
      <c r="F6" s="4" t="s">
        <v>293</v>
      </c>
      <c r="G6" s="53" t="s">
        <v>281</v>
      </c>
      <c r="H6" s="109" t="s">
        <v>174</v>
      </c>
      <c r="I6" s="4" t="s">
        <v>293</v>
      </c>
      <c r="J6" s="53" t="s">
        <v>281</v>
      </c>
      <c r="K6" s="4" t="s">
        <v>174</v>
      </c>
      <c r="L6" s="53" t="s">
        <v>174</v>
      </c>
    </row>
    <row r="7" spans="2:12" ht="14.25">
      <c r="B7" s="127" t="s">
        <v>3</v>
      </c>
      <c r="C7" s="109" t="s">
        <v>174</v>
      </c>
      <c r="D7" s="109" t="s">
        <v>174</v>
      </c>
      <c r="E7" s="4" t="s">
        <v>282</v>
      </c>
      <c r="F7" s="4" t="s">
        <v>279</v>
      </c>
      <c r="G7" s="53" t="s">
        <v>292</v>
      </c>
      <c r="H7" s="109" t="s">
        <v>175</v>
      </c>
      <c r="I7" s="4" t="s">
        <v>279</v>
      </c>
      <c r="J7" s="53" t="s">
        <v>292</v>
      </c>
      <c r="K7" s="4" t="s">
        <v>175</v>
      </c>
      <c r="L7" s="53" t="s">
        <v>175</v>
      </c>
    </row>
    <row r="8" spans="2:12" ht="14.25">
      <c r="B8" s="127"/>
      <c r="C8" s="109" t="s">
        <v>175</v>
      </c>
      <c r="D8" s="109" t="s">
        <v>175</v>
      </c>
      <c r="E8" s="4" t="s">
        <v>175</v>
      </c>
      <c r="F8" s="4" t="s">
        <v>280</v>
      </c>
      <c r="G8" s="53" t="s">
        <v>282</v>
      </c>
      <c r="H8" s="109" t="s">
        <v>291</v>
      </c>
      <c r="I8" s="4" t="s">
        <v>280</v>
      </c>
      <c r="J8" s="53" t="s">
        <v>282</v>
      </c>
      <c r="K8" s="4"/>
      <c r="L8" s="53"/>
    </row>
    <row r="9" spans="2:12" ht="14.25">
      <c r="B9" s="128"/>
      <c r="C9" s="110" t="s">
        <v>5</v>
      </c>
      <c r="D9" s="110" t="s">
        <v>5</v>
      </c>
      <c r="E9" s="5" t="s">
        <v>5</v>
      </c>
      <c r="F9" s="5" t="s">
        <v>5</v>
      </c>
      <c r="G9" s="55" t="s">
        <v>5</v>
      </c>
      <c r="H9" s="110" t="s">
        <v>5</v>
      </c>
      <c r="I9" s="5" t="s">
        <v>5</v>
      </c>
      <c r="J9" s="55" t="s">
        <v>5</v>
      </c>
      <c r="K9" s="5" t="s">
        <v>5</v>
      </c>
      <c r="L9" s="55" t="s">
        <v>5</v>
      </c>
    </row>
    <row r="10" spans="2:12" ht="14.25">
      <c r="B10" s="137"/>
      <c r="C10" s="113"/>
      <c r="D10" s="7"/>
      <c r="E10" s="7"/>
      <c r="F10" s="7"/>
      <c r="G10" s="57"/>
      <c r="H10" s="113"/>
      <c r="I10" s="7"/>
      <c r="J10" s="57"/>
      <c r="K10" s="288"/>
      <c r="L10" s="83"/>
    </row>
    <row r="11" spans="2:12" ht="14.25">
      <c r="B11" s="255" t="s">
        <v>274</v>
      </c>
      <c r="C11" s="68">
        <f>5501</f>
        <v>5501</v>
      </c>
      <c r="D11" s="26">
        <v>5963</v>
      </c>
      <c r="E11" s="26">
        <v>5963</v>
      </c>
      <c r="F11" s="26">
        <v>5963</v>
      </c>
      <c r="G11" s="69">
        <f>F11-E11</f>
        <v>0</v>
      </c>
      <c r="H11" s="68">
        <f>5501</f>
        <v>5501</v>
      </c>
      <c r="I11" s="26">
        <f>5501</f>
        <v>5501</v>
      </c>
      <c r="J11" s="69">
        <f>I11-H11</f>
        <v>0</v>
      </c>
      <c r="K11" s="26">
        <v>5501</v>
      </c>
      <c r="L11" s="69">
        <v>5501</v>
      </c>
    </row>
    <row r="12" spans="2:12" ht="14.25">
      <c r="B12" s="137"/>
      <c r="C12" s="116"/>
      <c r="D12" s="47"/>
      <c r="E12" s="47"/>
      <c r="F12" s="47"/>
      <c r="G12" s="89"/>
      <c r="H12" s="116"/>
      <c r="I12" s="47"/>
      <c r="J12" s="89"/>
      <c r="K12" s="47"/>
      <c r="L12" s="89"/>
    </row>
    <row r="13" spans="2:12" ht="14.25">
      <c r="B13" s="255" t="s">
        <v>250</v>
      </c>
      <c r="C13" s="68">
        <f>302</f>
        <v>302</v>
      </c>
      <c r="D13" s="26">
        <v>302</v>
      </c>
      <c r="E13" s="26">
        <v>302</v>
      </c>
      <c r="F13" s="26">
        <v>302</v>
      </c>
      <c r="G13" s="69">
        <f>F13-E13</f>
        <v>0</v>
      </c>
      <c r="H13" s="68">
        <f>317</f>
        <v>317</v>
      </c>
      <c r="I13" s="26">
        <f>317</f>
        <v>317</v>
      </c>
      <c r="J13" s="69">
        <f>I13-H13</f>
        <v>0</v>
      </c>
      <c r="K13" s="26">
        <v>0</v>
      </c>
      <c r="L13" s="69">
        <v>0</v>
      </c>
    </row>
    <row r="14" spans="2:12" ht="14.25">
      <c r="B14" s="137"/>
      <c r="C14" s="116"/>
      <c r="D14" s="47"/>
      <c r="E14" s="47"/>
      <c r="F14" s="47"/>
      <c r="G14" s="89"/>
      <c r="H14" s="116"/>
      <c r="I14" s="47"/>
      <c r="J14" s="89"/>
      <c r="K14" s="47"/>
      <c r="L14" s="89"/>
    </row>
    <row r="15" spans="2:12" ht="14.25">
      <c r="B15" s="294" t="s">
        <v>275</v>
      </c>
      <c r="C15" s="68">
        <v>0</v>
      </c>
      <c r="D15" s="26">
        <v>2105</v>
      </c>
      <c r="E15" s="26">
        <v>2105</v>
      </c>
      <c r="F15" s="26">
        <v>2105</v>
      </c>
      <c r="G15" s="69">
        <f>F15-E15</f>
        <v>0</v>
      </c>
      <c r="H15" s="68">
        <v>0</v>
      </c>
      <c r="I15" s="26">
        <v>0</v>
      </c>
      <c r="J15" s="69">
        <f>I15-H15</f>
        <v>0</v>
      </c>
      <c r="K15" s="26">
        <v>0</v>
      </c>
      <c r="L15" s="69">
        <v>0</v>
      </c>
    </row>
    <row r="16" spans="2:12" ht="14.25">
      <c r="B16" s="137"/>
      <c r="C16" s="116"/>
      <c r="D16" s="47"/>
      <c r="E16" s="47"/>
      <c r="F16" s="47"/>
      <c r="G16" s="89"/>
      <c r="H16" s="116"/>
      <c r="I16" s="47"/>
      <c r="J16" s="89"/>
      <c r="K16" s="47"/>
      <c r="L16" s="83"/>
    </row>
    <row r="17" spans="2:12" ht="14.25">
      <c r="B17" s="294" t="s">
        <v>163</v>
      </c>
      <c r="C17" s="295">
        <v>0</v>
      </c>
      <c r="D17" s="296">
        <v>5108</v>
      </c>
      <c r="E17" s="26">
        <v>5108</v>
      </c>
      <c r="F17" s="26">
        <v>5108</v>
      </c>
      <c r="G17" s="69">
        <f>F17-E17</f>
        <v>0</v>
      </c>
      <c r="H17" s="295">
        <v>0</v>
      </c>
      <c r="I17" s="296">
        <v>0</v>
      </c>
      <c r="J17" s="69">
        <f>I17-H17</f>
        <v>0</v>
      </c>
      <c r="K17" s="296">
        <v>0</v>
      </c>
      <c r="L17" s="297">
        <v>0</v>
      </c>
    </row>
    <row r="18" spans="2:12" ht="14.25">
      <c r="B18" s="137"/>
      <c r="C18" s="116"/>
      <c r="D18" s="47"/>
      <c r="E18" s="47"/>
      <c r="F18" s="47"/>
      <c r="G18" s="89"/>
      <c r="H18" s="116"/>
      <c r="I18" s="47"/>
      <c r="J18" s="89"/>
      <c r="K18" s="47"/>
      <c r="L18" s="83"/>
    </row>
    <row r="19" spans="2:12" ht="14.25">
      <c r="B19" s="253" t="s">
        <v>187</v>
      </c>
      <c r="C19" s="116"/>
      <c r="D19" s="47"/>
      <c r="E19" s="47"/>
      <c r="F19" s="47"/>
      <c r="G19" s="89"/>
      <c r="H19" s="116"/>
      <c r="I19" s="47"/>
      <c r="J19" s="89"/>
      <c r="K19" s="288"/>
      <c r="L19" s="83"/>
    </row>
    <row r="20" spans="2:12" ht="14.25">
      <c r="B20" s="137"/>
      <c r="C20" s="116"/>
      <c r="D20" s="47"/>
      <c r="E20" s="47"/>
      <c r="F20" s="47"/>
      <c r="G20" s="89"/>
      <c r="H20" s="116"/>
      <c r="I20" s="47"/>
      <c r="J20" s="89"/>
      <c r="K20" s="288"/>
      <c r="L20" s="83"/>
    </row>
    <row r="21" spans="2:12" ht="14.25">
      <c r="B21" s="137" t="s">
        <v>194</v>
      </c>
      <c r="C21" s="113"/>
      <c r="D21" s="7"/>
      <c r="E21" s="7"/>
      <c r="F21" s="7"/>
      <c r="G21" s="57"/>
      <c r="H21" s="113"/>
      <c r="I21" s="7"/>
      <c r="J21" s="57"/>
      <c r="K21" s="288"/>
      <c r="L21" s="83"/>
    </row>
    <row r="22" spans="2:12" ht="14.25">
      <c r="B22" s="254" t="s">
        <v>72</v>
      </c>
      <c r="C22" s="230">
        <v>0</v>
      </c>
      <c r="D22" s="85">
        <v>37</v>
      </c>
      <c r="E22" s="7">
        <v>37</v>
      </c>
      <c r="F22" s="7">
        <v>37</v>
      </c>
      <c r="G22" s="57">
        <f aca="true" t="shared" si="0" ref="G22:G28">F22-E22</f>
        <v>0</v>
      </c>
      <c r="H22" s="230">
        <v>0</v>
      </c>
      <c r="I22" s="85">
        <v>0</v>
      </c>
      <c r="J22" s="57">
        <f aca="true" t="shared" si="1" ref="J22:J28">I22-H22</f>
        <v>0</v>
      </c>
      <c r="K22" s="288">
        <v>0</v>
      </c>
      <c r="L22" s="83">
        <v>0</v>
      </c>
    </row>
    <row r="23" spans="2:12" ht="14.25">
      <c r="B23" s="254" t="s">
        <v>140</v>
      </c>
      <c r="C23" s="230">
        <v>300</v>
      </c>
      <c r="D23" s="85">
        <v>405</v>
      </c>
      <c r="E23" s="7">
        <v>405</v>
      </c>
      <c r="F23" s="7">
        <v>405</v>
      </c>
      <c r="G23" s="57">
        <f t="shared" si="0"/>
        <v>0</v>
      </c>
      <c r="H23" s="113">
        <v>0</v>
      </c>
      <c r="I23" s="7">
        <v>0</v>
      </c>
      <c r="J23" s="57">
        <f t="shared" si="1"/>
        <v>0</v>
      </c>
      <c r="K23" s="288">
        <v>0</v>
      </c>
      <c r="L23" s="83">
        <v>0</v>
      </c>
    </row>
    <row r="24" spans="2:12" ht="14.25">
      <c r="B24" s="298" t="s">
        <v>75</v>
      </c>
      <c r="C24" s="299">
        <v>0</v>
      </c>
      <c r="D24" s="300">
        <v>102</v>
      </c>
      <c r="E24" s="7">
        <v>102</v>
      </c>
      <c r="F24" s="7">
        <v>102</v>
      </c>
      <c r="G24" s="57">
        <f t="shared" si="0"/>
        <v>0</v>
      </c>
      <c r="H24" s="299">
        <v>0</v>
      </c>
      <c r="I24" s="300">
        <v>0</v>
      </c>
      <c r="J24" s="57">
        <f t="shared" si="1"/>
        <v>0</v>
      </c>
      <c r="K24" s="300">
        <v>0</v>
      </c>
      <c r="L24" s="83">
        <v>0</v>
      </c>
    </row>
    <row r="25" spans="2:12" ht="14.25">
      <c r="B25" s="298" t="s">
        <v>181</v>
      </c>
      <c r="C25" s="299">
        <v>0</v>
      </c>
      <c r="D25" s="300">
        <v>150</v>
      </c>
      <c r="E25" s="7">
        <v>150</v>
      </c>
      <c r="F25" s="7">
        <v>150</v>
      </c>
      <c r="G25" s="57">
        <f t="shared" si="0"/>
        <v>0</v>
      </c>
      <c r="H25" s="299">
        <v>0</v>
      </c>
      <c r="I25" s="300">
        <v>0</v>
      </c>
      <c r="J25" s="57">
        <f t="shared" si="1"/>
        <v>0</v>
      </c>
      <c r="K25" s="300">
        <v>0</v>
      </c>
      <c r="L25" s="83">
        <v>0</v>
      </c>
    </row>
    <row r="26" spans="2:12" ht="14.25">
      <c r="B26" s="298" t="s">
        <v>76</v>
      </c>
      <c r="C26" s="299">
        <v>0</v>
      </c>
      <c r="D26" s="300">
        <v>90</v>
      </c>
      <c r="E26" s="7">
        <v>90</v>
      </c>
      <c r="F26" s="7">
        <v>90</v>
      </c>
      <c r="G26" s="57">
        <f t="shared" si="0"/>
        <v>0</v>
      </c>
      <c r="H26" s="299">
        <v>0</v>
      </c>
      <c r="I26" s="300">
        <v>0</v>
      </c>
      <c r="J26" s="57">
        <f t="shared" si="1"/>
        <v>0</v>
      </c>
      <c r="K26" s="300">
        <v>0</v>
      </c>
      <c r="L26" s="83">
        <v>0</v>
      </c>
    </row>
    <row r="27" spans="2:12" ht="14.25">
      <c r="B27" s="298" t="s">
        <v>77</v>
      </c>
      <c r="C27" s="301">
        <v>0</v>
      </c>
      <c r="D27" s="302">
        <v>11</v>
      </c>
      <c r="E27" s="7">
        <v>11</v>
      </c>
      <c r="F27" s="7">
        <v>11</v>
      </c>
      <c r="G27" s="57">
        <f t="shared" si="0"/>
        <v>0</v>
      </c>
      <c r="H27" s="301">
        <v>0</v>
      </c>
      <c r="I27" s="302">
        <v>0</v>
      </c>
      <c r="J27" s="57">
        <f t="shared" si="1"/>
        <v>0</v>
      </c>
      <c r="K27" s="302">
        <v>0</v>
      </c>
      <c r="L27" s="83">
        <v>0</v>
      </c>
    </row>
    <row r="28" spans="2:12" ht="14.25">
      <c r="B28" s="140" t="s">
        <v>191</v>
      </c>
      <c r="C28" s="222">
        <v>0</v>
      </c>
      <c r="D28" s="215">
        <v>125</v>
      </c>
      <c r="E28" s="215">
        <v>125</v>
      </c>
      <c r="F28" s="215">
        <v>125</v>
      </c>
      <c r="G28" s="216">
        <f t="shared" si="0"/>
        <v>0</v>
      </c>
      <c r="H28" s="222">
        <v>0</v>
      </c>
      <c r="I28" s="215">
        <v>0</v>
      </c>
      <c r="J28" s="216">
        <f t="shared" si="1"/>
        <v>0</v>
      </c>
      <c r="K28" s="215">
        <v>0</v>
      </c>
      <c r="L28" s="176">
        <v>0</v>
      </c>
    </row>
    <row r="29" spans="2:12" ht="14.25">
      <c r="B29" s="259" t="s">
        <v>195</v>
      </c>
      <c r="C29" s="230"/>
      <c r="D29" s="85"/>
      <c r="E29" s="85"/>
      <c r="F29" s="85"/>
      <c r="G29" s="270"/>
      <c r="H29" s="113"/>
      <c r="I29" s="7"/>
      <c r="J29" s="270"/>
      <c r="K29" s="288"/>
      <c r="L29" s="83"/>
    </row>
    <row r="30" spans="2:12" ht="14.25">
      <c r="B30" s="303" t="s">
        <v>182</v>
      </c>
      <c r="C30" s="230"/>
      <c r="D30" s="85"/>
      <c r="E30" s="85"/>
      <c r="F30" s="85"/>
      <c r="G30" s="270"/>
      <c r="H30" s="113"/>
      <c r="I30" s="7"/>
      <c r="J30" s="270"/>
      <c r="K30" s="288"/>
      <c r="L30" s="83"/>
    </row>
    <row r="31" spans="2:12" ht="14.25">
      <c r="B31" s="267" t="s">
        <v>71</v>
      </c>
      <c r="C31" s="230">
        <f>3750+400-1000</f>
        <v>3150</v>
      </c>
      <c r="D31" s="85">
        <v>3150</v>
      </c>
      <c r="E31" s="7">
        <v>3150</v>
      </c>
      <c r="F31" s="7">
        <v>3150</v>
      </c>
      <c r="G31" s="57">
        <f aca="true" t="shared" si="2" ref="G31:G38">F31-E31</f>
        <v>0</v>
      </c>
      <c r="H31" s="230">
        <f>3750-325+63+400-1000</f>
        <v>2888</v>
      </c>
      <c r="I31" s="85">
        <f>3750-325+63+400-1000</f>
        <v>2888</v>
      </c>
      <c r="J31" s="57">
        <f aca="true" t="shared" si="3" ref="J31:J38">I31-H31</f>
        <v>0</v>
      </c>
      <c r="K31" s="43">
        <f>3500+400-1000</f>
        <v>2900</v>
      </c>
      <c r="L31" s="83">
        <v>3000</v>
      </c>
    </row>
    <row r="32" spans="2:12" ht="14.25">
      <c r="B32" s="304" t="s">
        <v>74</v>
      </c>
      <c r="C32" s="299">
        <v>70</v>
      </c>
      <c r="D32" s="300">
        <v>70</v>
      </c>
      <c r="E32" s="7">
        <v>70</v>
      </c>
      <c r="F32" s="7">
        <v>70</v>
      </c>
      <c r="G32" s="57">
        <f t="shared" si="2"/>
        <v>0</v>
      </c>
      <c r="H32" s="299">
        <v>0</v>
      </c>
      <c r="I32" s="300">
        <v>0</v>
      </c>
      <c r="J32" s="57">
        <f t="shared" si="3"/>
        <v>0</v>
      </c>
      <c r="K32" s="288">
        <v>0</v>
      </c>
      <c r="L32" s="83">
        <v>0</v>
      </c>
    </row>
    <row r="33" spans="2:12" ht="14.25">
      <c r="B33" s="303" t="s">
        <v>240</v>
      </c>
      <c r="C33" s="299"/>
      <c r="D33" s="300"/>
      <c r="E33" s="7"/>
      <c r="F33" s="7"/>
      <c r="G33" s="57"/>
      <c r="H33" s="299"/>
      <c r="I33" s="300"/>
      <c r="J33" s="57"/>
      <c r="K33" s="288"/>
      <c r="L33" s="83"/>
    </row>
    <row r="34" spans="2:12" ht="14.25">
      <c r="B34" s="135" t="s">
        <v>237</v>
      </c>
      <c r="C34" s="230">
        <f>600+100-75-240-285</f>
        <v>100</v>
      </c>
      <c r="D34" s="85">
        <v>144</v>
      </c>
      <c r="E34" s="7">
        <v>144</v>
      </c>
      <c r="F34" s="11">
        <v>100</v>
      </c>
      <c r="G34" s="59">
        <f t="shared" si="2"/>
        <v>-44</v>
      </c>
      <c r="H34" s="230">
        <f>600+100-40-240-295</f>
        <v>125</v>
      </c>
      <c r="I34" s="85">
        <f>600+100-40-240-295</f>
        <v>125</v>
      </c>
      <c r="J34" s="57">
        <f t="shared" si="3"/>
        <v>0</v>
      </c>
      <c r="K34" s="43">
        <f>600+100-20-240-295</f>
        <v>145</v>
      </c>
      <c r="L34" s="83">
        <f>700-20-240-295</f>
        <v>145</v>
      </c>
    </row>
    <row r="35" spans="2:12" ht="14.25">
      <c r="B35" s="135" t="s">
        <v>238</v>
      </c>
      <c r="C35" s="230">
        <f>75-10</f>
        <v>65</v>
      </c>
      <c r="D35" s="85">
        <v>65</v>
      </c>
      <c r="E35" s="7">
        <v>65</v>
      </c>
      <c r="F35" s="11">
        <v>70</v>
      </c>
      <c r="G35" s="59">
        <f t="shared" si="2"/>
        <v>5</v>
      </c>
      <c r="H35" s="230">
        <v>40</v>
      </c>
      <c r="I35" s="85">
        <v>40</v>
      </c>
      <c r="J35" s="57">
        <f t="shared" si="3"/>
        <v>0</v>
      </c>
      <c r="K35" s="43">
        <v>20</v>
      </c>
      <c r="L35" s="83">
        <v>20</v>
      </c>
    </row>
    <row r="36" spans="2:12" ht="14.25">
      <c r="B36" s="135" t="s">
        <v>239</v>
      </c>
      <c r="C36" s="230">
        <f>240+295</f>
        <v>535</v>
      </c>
      <c r="D36" s="85">
        <v>535</v>
      </c>
      <c r="E36" s="7">
        <v>873</v>
      </c>
      <c r="F36" s="11">
        <v>786</v>
      </c>
      <c r="G36" s="59">
        <f t="shared" si="2"/>
        <v>-87</v>
      </c>
      <c r="H36" s="230">
        <f>240+295-250</f>
        <v>285</v>
      </c>
      <c r="I36" s="85">
        <f>240+295-250</f>
        <v>285</v>
      </c>
      <c r="J36" s="57">
        <f t="shared" si="3"/>
        <v>0</v>
      </c>
      <c r="K36" s="43">
        <f>240+295</f>
        <v>535</v>
      </c>
      <c r="L36" s="83">
        <f>240+295</f>
        <v>535</v>
      </c>
    </row>
    <row r="37" spans="2:12" ht="14.25">
      <c r="B37" s="135"/>
      <c r="C37" s="230"/>
      <c r="D37" s="85"/>
      <c r="E37" s="7"/>
      <c r="F37" s="11"/>
      <c r="G37" s="59"/>
      <c r="H37" s="230"/>
      <c r="I37" s="85"/>
      <c r="J37" s="57"/>
      <c r="K37" s="43"/>
      <c r="L37" s="83"/>
    </row>
    <row r="38" spans="2:12" ht="14.25">
      <c r="B38" s="305" t="s">
        <v>73</v>
      </c>
      <c r="C38" s="230">
        <v>100</v>
      </c>
      <c r="D38" s="85">
        <v>117</v>
      </c>
      <c r="E38" s="7">
        <v>117</v>
      </c>
      <c r="F38" s="11">
        <v>117</v>
      </c>
      <c r="G38" s="59">
        <f t="shared" si="2"/>
        <v>0</v>
      </c>
      <c r="H38" s="230">
        <v>0</v>
      </c>
      <c r="I38" s="85">
        <v>0</v>
      </c>
      <c r="J38" s="57">
        <f t="shared" si="3"/>
        <v>0</v>
      </c>
      <c r="K38" s="288">
        <v>0</v>
      </c>
      <c r="L38" s="83">
        <v>0</v>
      </c>
    </row>
    <row r="39" spans="2:12" ht="14.25">
      <c r="B39" s="255" t="s">
        <v>196</v>
      </c>
      <c r="C39" s="66">
        <f aca="true" t="shared" si="4" ref="C39:L39">SUM(C22:C38)</f>
        <v>4320</v>
      </c>
      <c r="D39" s="8">
        <f t="shared" si="4"/>
        <v>5001</v>
      </c>
      <c r="E39" s="8">
        <f t="shared" si="4"/>
        <v>5339</v>
      </c>
      <c r="F39" s="8">
        <f t="shared" si="4"/>
        <v>5213</v>
      </c>
      <c r="G39" s="63">
        <f t="shared" si="4"/>
        <v>-126</v>
      </c>
      <c r="H39" s="66">
        <f t="shared" si="4"/>
        <v>3338</v>
      </c>
      <c r="I39" s="16">
        <f t="shared" si="4"/>
        <v>3338</v>
      </c>
      <c r="J39" s="63">
        <f t="shared" si="4"/>
        <v>0</v>
      </c>
      <c r="K39" s="16">
        <f t="shared" si="4"/>
        <v>3600</v>
      </c>
      <c r="L39" s="63">
        <f t="shared" si="4"/>
        <v>3700</v>
      </c>
    </row>
    <row r="40" spans="2:12" ht="14.25">
      <c r="B40" s="135"/>
      <c r="C40" s="230"/>
      <c r="D40" s="85"/>
      <c r="E40" s="85"/>
      <c r="F40" s="85"/>
      <c r="G40" s="270"/>
      <c r="H40" s="230"/>
      <c r="I40" s="85"/>
      <c r="J40" s="270"/>
      <c r="K40" s="43"/>
      <c r="L40" s="83"/>
    </row>
    <row r="41" spans="2:12" ht="14.25">
      <c r="B41" s="137" t="s">
        <v>197</v>
      </c>
      <c r="C41" s="230"/>
      <c r="D41" s="85"/>
      <c r="E41" s="85"/>
      <c r="F41" s="85"/>
      <c r="G41" s="270"/>
      <c r="H41" s="230"/>
      <c r="I41" s="85"/>
      <c r="J41" s="270"/>
      <c r="K41" s="43"/>
      <c r="L41" s="83"/>
    </row>
    <row r="42" spans="2:12" ht="14.25">
      <c r="B42" s="258" t="s">
        <v>144</v>
      </c>
      <c r="C42" s="306">
        <v>0</v>
      </c>
      <c r="D42" s="307">
        <v>114</v>
      </c>
      <c r="E42" s="7">
        <v>114</v>
      </c>
      <c r="F42" s="11">
        <v>117</v>
      </c>
      <c r="G42" s="59">
        <f>F42-E42</f>
        <v>3</v>
      </c>
      <c r="H42" s="306">
        <v>0</v>
      </c>
      <c r="I42" s="307">
        <v>0</v>
      </c>
      <c r="J42" s="57">
        <f>I42-H42</f>
        <v>0</v>
      </c>
      <c r="K42" s="307">
        <v>0</v>
      </c>
      <c r="L42" s="83">
        <v>0</v>
      </c>
    </row>
    <row r="43" spans="2:12" ht="14.25">
      <c r="B43" s="268" t="s">
        <v>180</v>
      </c>
      <c r="C43" s="306">
        <v>0</v>
      </c>
      <c r="D43" s="307">
        <v>462</v>
      </c>
      <c r="E43" s="11">
        <v>462</v>
      </c>
      <c r="F43" s="11">
        <v>870</v>
      </c>
      <c r="G43" s="59">
        <f>F43-E43</f>
        <v>408</v>
      </c>
      <c r="H43" s="306">
        <v>0</v>
      </c>
      <c r="I43" s="307">
        <v>0</v>
      </c>
      <c r="J43" s="57">
        <f>I43-H43</f>
        <v>0</v>
      </c>
      <c r="K43" s="307">
        <v>0</v>
      </c>
      <c r="L43" s="83">
        <v>0</v>
      </c>
    </row>
    <row r="44" spans="2:12" ht="14.25">
      <c r="B44" s="255" t="s">
        <v>198</v>
      </c>
      <c r="C44" s="66">
        <f aca="true" t="shared" si="5" ref="C44:L44">SUM(C42:C43)</f>
        <v>0</v>
      </c>
      <c r="D44" s="8">
        <f t="shared" si="5"/>
        <v>576</v>
      </c>
      <c r="E44" s="8">
        <f t="shared" si="5"/>
        <v>576</v>
      </c>
      <c r="F44" s="8">
        <f t="shared" si="5"/>
        <v>987</v>
      </c>
      <c r="G44" s="63">
        <f t="shared" si="5"/>
        <v>411</v>
      </c>
      <c r="H44" s="66">
        <f t="shared" si="5"/>
        <v>0</v>
      </c>
      <c r="I44" s="16">
        <f t="shared" si="5"/>
        <v>0</v>
      </c>
      <c r="J44" s="63">
        <f t="shared" si="5"/>
        <v>0</v>
      </c>
      <c r="K44" s="16">
        <f t="shared" si="5"/>
        <v>0</v>
      </c>
      <c r="L44" s="63">
        <f t="shared" si="5"/>
        <v>0</v>
      </c>
    </row>
    <row r="45" spans="2:12" ht="14.25">
      <c r="B45" s="255"/>
      <c r="C45" s="113"/>
      <c r="D45" s="7"/>
      <c r="E45" s="7"/>
      <c r="F45" s="7"/>
      <c r="G45" s="57"/>
      <c r="H45" s="113"/>
      <c r="I45" s="7"/>
      <c r="J45" s="57"/>
      <c r="K45" s="288"/>
      <c r="L45" s="83"/>
    </row>
    <row r="46" spans="2:12" ht="15" thickBot="1">
      <c r="B46" s="269" t="s">
        <v>199</v>
      </c>
      <c r="C46" s="226">
        <f aca="true" t="shared" si="6" ref="C46:L46">C44+C11+C17+C39+C13+C15</f>
        <v>10123</v>
      </c>
      <c r="D46" s="240">
        <f>D44+D11+D17+D39+D13+D15</f>
        <v>19055</v>
      </c>
      <c r="E46" s="240">
        <f>E44+E11+E17+E39+E13+E15</f>
        <v>19393</v>
      </c>
      <c r="F46" s="240">
        <f t="shared" si="6"/>
        <v>19678</v>
      </c>
      <c r="G46" s="266">
        <f t="shared" si="6"/>
        <v>285</v>
      </c>
      <c r="H46" s="226">
        <f t="shared" si="6"/>
        <v>9156</v>
      </c>
      <c r="I46" s="86">
        <f>I44+I11+I17+I39+I13+I15</f>
        <v>9156</v>
      </c>
      <c r="J46" s="266">
        <f>J44+J11+J17+J39+J13+J15</f>
        <v>0</v>
      </c>
      <c r="K46" s="86">
        <f t="shared" si="6"/>
        <v>9101</v>
      </c>
      <c r="L46" s="217">
        <f t="shared" si="6"/>
        <v>9201</v>
      </c>
    </row>
    <row r="48" ht="14.25">
      <c r="B48" s="87"/>
    </row>
    <row r="49" ht="14.25">
      <c r="B49" s="235"/>
    </row>
    <row r="56" ht="14.25">
      <c r="B56" s="235"/>
    </row>
  </sheetData>
  <mergeCells count="2">
    <mergeCell ref="A3:K3"/>
    <mergeCell ref="A1:L1"/>
  </mergeCells>
  <printOptions horizontalCentered="1" verticalCentered="1"/>
  <pageMargins left="0.1968503937007874" right="0.1968503937007874" top="0.5118110236220472" bottom="0.7086614173228347" header="0.5118110236220472" footer="0.2362204724409449"/>
  <pageSetup firstPageNumber="171" useFirstPageNumber="1" horizontalDpi="600" verticalDpi="600" orientation="landscape" scale="65" r:id="rId1"/>
  <headerFooter alignWithMargins="0">
    <oddHeader>&amp;R&amp;"Arial,Bold"&amp;9 Appendix 1</oddHeader>
    <oddFooter>&amp;L&amp;8&amp;D&amp;T&amp;Z&amp;F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54"/>
  <sheetViews>
    <sheetView view="pageBreakPreview" zoomScale="70" zoomScaleNormal="70" zoomScaleSheetLayoutView="70" workbookViewId="0" topLeftCell="A1">
      <selection activeCell="B21" sqref="B21"/>
    </sheetView>
  </sheetViews>
  <sheetFormatPr defaultColWidth="9.140625" defaultRowHeight="12.75"/>
  <cols>
    <col min="1" max="1" width="5.7109375" style="1" customWidth="1"/>
    <col min="2" max="2" width="54.28125" style="1" bestFit="1" customWidth="1"/>
    <col min="3" max="3" width="14.00390625" style="2" bestFit="1" customWidth="1"/>
    <col min="4" max="4" width="14.00390625" style="2" customWidth="1"/>
    <col min="5" max="5" width="14.00390625" style="2" bestFit="1" customWidth="1"/>
    <col min="6" max="6" width="11.7109375" style="2" bestFit="1" customWidth="1"/>
    <col min="7" max="7" width="13.57421875" style="2" bestFit="1" customWidth="1"/>
    <col min="8" max="8" width="14.00390625" style="1" bestFit="1" customWidth="1"/>
    <col min="9" max="10" width="14.00390625" style="1" customWidth="1"/>
    <col min="11" max="11" width="14.00390625" style="1" bestFit="1" customWidth="1"/>
    <col min="12" max="12" width="14.00390625" style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1" ht="18">
      <c r="A3" s="310" t="s">
        <v>215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5" thickBot="1"/>
    <row r="5" spans="2:12" ht="14.25">
      <c r="B5" s="126"/>
      <c r="C5" s="283" t="s">
        <v>2</v>
      </c>
      <c r="D5" s="283" t="s">
        <v>2</v>
      </c>
      <c r="E5" s="284" t="s">
        <v>2</v>
      </c>
      <c r="F5" s="284" t="s">
        <v>2</v>
      </c>
      <c r="G5" s="285" t="s">
        <v>2</v>
      </c>
      <c r="H5" s="283" t="s">
        <v>37</v>
      </c>
      <c r="I5" s="284" t="s">
        <v>37</v>
      </c>
      <c r="J5" s="285" t="s">
        <v>37</v>
      </c>
      <c r="K5" s="284" t="s">
        <v>63</v>
      </c>
      <c r="L5" s="285" t="s">
        <v>226</v>
      </c>
    </row>
    <row r="6" spans="2:12" ht="14.25">
      <c r="B6" s="127"/>
      <c r="C6" s="109" t="s">
        <v>288</v>
      </c>
      <c r="D6" s="109" t="s">
        <v>42</v>
      </c>
      <c r="E6" s="19" t="s">
        <v>289</v>
      </c>
      <c r="F6" s="4" t="s">
        <v>293</v>
      </c>
      <c r="G6" s="53" t="s">
        <v>281</v>
      </c>
      <c r="H6" s="109" t="s">
        <v>174</v>
      </c>
      <c r="I6" s="4" t="s">
        <v>293</v>
      </c>
      <c r="J6" s="53" t="s">
        <v>281</v>
      </c>
      <c r="K6" s="4" t="s">
        <v>174</v>
      </c>
      <c r="L6" s="53" t="s">
        <v>174</v>
      </c>
    </row>
    <row r="7" spans="2:12" ht="14.25">
      <c r="B7" s="127" t="s">
        <v>3</v>
      </c>
      <c r="C7" s="109" t="s">
        <v>174</v>
      </c>
      <c r="D7" s="109" t="s">
        <v>174</v>
      </c>
      <c r="E7" s="4" t="s">
        <v>282</v>
      </c>
      <c r="F7" s="4" t="s">
        <v>279</v>
      </c>
      <c r="G7" s="53" t="s">
        <v>292</v>
      </c>
      <c r="H7" s="109" t="s">
        <v>175</v>
      </c>
      <c r="I7" s="4" t="s">
        <v>279</v>
      </c>
      <c r="J7" s="53" t="s">
        <v>292</v>
      </c>
      <c r="K7" s="4" t="s">
        <v>175</v>
      </c>
      <c r="L7" s="53" t="s">
        <v>175</v>
      </c>
    </row>
    <row r="8" spans="2:12" ht="14.25">
      <c r="B8" s="127"/>
      <c r="C8" s="109" t="s">
        <v>175</v>
      </c>
      <c r="D8" s="109" t="s">
        <v>175</v>
      </c>
      <c r="E8" s="4" t="s">
        <v>175</v>
      </c>
      <c r="F8" s="4" t="s">
        <v>280</v>
      </c>
      <c r="G8" s="53" t="s">
        <v>282</v>
      </c>
      <c r="H8" s="109" t="s">
        <v>291</v>
      </c>
      <c r="I8" s="4" t="s">
        <v>280</v>
      </c>
      <c r="J8" s="53" t="s">
        <v>282</v>
      </c>
      <c r="K8" s="4"/>
      <c r="L8" s="53"/>
    </row>
    <row r="9" spans="2:12" ht="14.25">
      <c r="B9" s="128"/>
      <c r="C9" s="110" t="s">
        <v>5</v>
      </c>
      <c r="D9" s="110" t="s">
        <v>5</v>
      </c>
      <c r="E9" s="5" t="s">
        <v>5</v>
      </c>
      <c r="F9" s="5" t="s">
        <v>5</v>
      </c>
      <c r="G9" s="55" t="s">
        <v>5</v>
      </c>
      <c r="H9" s="110" t="s">
        <v>5</v>
      </c>
      <c r="I9" s="5" t="s">
        <v>5</v>
      </c>
      <c r="J9" s="55" t="s">
        <v>5</v>
      </c>
      <c r="K9" s="5" t="s">
        <v>5</v>
      </c>
      <c r="L9" s="55" t="s">
        <v>5</v>
      </c>
    </row>
    <row r="10" spans="2:12" ht="14.25">
      <c r="B10" s="257"/>
      <c r="C10" s="225"/>
      <c r="D10" s="19"/>
      <c r="E10" s="19"/>
      <c r="F10" s="19"/>
      <c r="G10" s="79"/>
      <c r="H10" s="225"/>
      <c r="I10" s="19"/>
      <c r="J10" s="79"/>
      <c r="K10" s="19"/>
      <c r="L10" s="79"/>
    </row>
    <row r="11" spans="2:12" ht="14.25">
      <c r="B11" s="253" t="s">
        <v>187</v>
      </c>
      <c r="C11" s="116"/>
      <c r="D11" s="47"/>
      <c r="E11" s="47"/>
      <c r="F11" s="47"/>
      <c r="G11" s="89"/>
      <c r="H11" s="116"/>
      <c r="I11" s="47"/>
      <c r="J11" s="89"/>
      <c r="K11" s="47"/>
      <c r="L11" s="89"/>
    </row>
    <row r="12" spans="2:12" ht="14.25">
      <c r="B12" s="253"/>
      <c r="C12" s="116"/>
      <c r="D12" s="47"/>
      <c r="E12" s="47"/>
      <c r="F12" s="47"/>
      <c r="G12" s="89"/>
      <c r="H12" s="116"/>
      <c r="I12" s="47"/>
      <c r="J12" s="89"/>
      <c r="K12" s="47"/>
      <c r="L12" s="89"/>
    </row>
    <row r="13" spans="2:12" ht="14.25">
      <c r="B13" s="263" t="s">
        <v>230</v>
      </c>
      <c r="C13" s="116"/>
      <c r="D13" s="47"/>
      <c r="E13" s="47"/>
      <c r="F13" s="47"/>
      <c r="G13" s="89"/>
      <c r="H13" s="116"/>
      <c r="I13" s="47"/>
      <c r="J13" s="89"/>
      <c r="K13" s="47"/>
      <c r="L13" s="89"/>
    </row>
    <row r="14" spans="2:12" ht="14.25">
      <c r="B14" s="264" t="s">
        <v>233</v>
      </c>
      <c r="C14" s="113">
        <v>175</v>
      </c>
      <c r="D14" s="7">
        <v>175</v>
      </c>
      <c r="E14" s="7">
        <v>175</v>
      </c>
      <c r="F14" s="11">
        <v>180</v>
      </c>
      <c r="G14" s="59">
        <f>F14-E14</f>
        <v>5</v>
      </c>
      <c r="H14" s="115">
        <v>0</v>
      </c>
      <c r="I14" s="11">
        <v>175</v>
      </c>
      <c r="J14" s="59">
        <f>I14-H14</f>
        <v>175</v>
      </c>
      <c r="K14" s="7">
        <v>0</v>
      </c>
      <c r="L14" s="57">
        <v>0</v>
      </c>
    </row>
    <row r="15" spans="2:12" ht="14.25">
      <c r="B15" s="137"/>
      <c r="C15" s="116"/>
      <c r="D15" s="47"/>
      <c r="E15" s="47"/>
      <c r="F15" s="42"/>
      <c r="G15" s="84"/>
      <c r="H15" s="62"/>
      <c r="I15" s="42"/>
      <c r="J15" s="84"/>
      <c r="K15" s="47"/>
      <c r="L15" s="89"/>
    </row>
    <row r="16" spans="2:12" ht="14.25">
      <c r="B16" s="137" t="s">
        <v>141</v>
      </c>
      <c r="C16" s="113"/>
      <c r="D16" s="7"/>
      <c r="E16" s="7"/>
      <c r="F16" s="11"/>
      <c r="G16" s="59"/>
      <c r="H16" s="115"/>
      <c r="I16" s="11"/>
      <c r="J16" s="59"/>
      <c r="K16" s="288"/>
      <c r="L16" s="83"/>
    </row>
    <row r="17" spans="2:12" ht="14.25">
      <c r="B17" s="135" t="s">
        <v>80</v>
      </c>
      <c r="C17" s="113">
        <v>0</v>
      </c>
      <c r="D17" s="7">
        <v>40</v>
      </c>
      <c r="E17" s="7">
        <v>40</v>
      </c>
      <c r="F17" s="11">
        <f>40+50+30</f>
        <v>120</v>
      </c>
      <c r="G17" s="59">
        <f aca="true" t="shared" si="0" ref="G17:G22">F17-E17</f>
        <v>80</v>
      </c>
      <c r="H17" s="115">
        <v>0</v>
      </c>
      <c r="I17" s="11">
        <v>0</v>
      </c>
      <c r="J17" s="59">
        <f aca="true" t="shared" si="1" ref="J17:J22">I17-H17</f>
        <v>0</v>
      </c>
      <c r="K17" s="288">
        <v>0</v>
      </c>
      <c r="L17" s="83">
        <v>0</v>
      </c>
    </row>
    <row r="18" spans="2:12" ht="14.25">
      <c r="B18" s="135" t="s">
        <v>81</v>
      </c>
      <c r="C18" s="113">
        <v>0</v>
      </c>
      <c r="D18" s="7">
        <v>4</v>
      </c>
      <c r="E18" s="7">
        <v>4</v>
      </c>
      <c r="F18" s="11">
        <v>4</v>
      </c>
      <c r="G18" s="59">
        <f t="shared" si="0"/>
        <v>0</v>
      </c>
      <c r="H18" s="115">
        <v>0</v>
      </c>
      <c r="I18" s="11">
        <v>0</v>
      </c>
      <c r="J18" s="59">
        <f t="shared" si="1"/>
        <v>0</v>
      </c>
      <c r="K18" s="288">
        <v>0</v>
      </c>
      <c r="L18" s="83">
        <v>0</v>
      </c>
    </row>
    <row r="19" spans="2:12" ht="14.25">
      <c r="B19" s="135" t="s">
        <v>82</v>
      </c>
      <c r="C19" s="113">
        <v>0</v>
      </c>
      <c r="D19" s="7">
        <v>35</v>
      </c>
      <c r="E19" s="7">
        <v>35</v>
      </c>
      <c r="F19" s="11">
        <v>35</v>
      </c>
      <c r="G19" s="59">
        <f t="shared" si="0"/>
        <v>0</v>
      </c>
      <c r="H19" s="115">
        <v>0</v>
      </c>
      <c r="I19" s="11">
        <v>0</v>
      </c>
      <c r="J19" s="59">
        <f t="shared" si="1"/>
        <v>0</v>
      </c>
      <c r="K19" s="288">
        <v>0</v>
      </c>
      <c r="L19" s="83">
        <v>0</v>
      </c>
    </row>
    <row r="20" spans="2:12" ht="14.25">
      <c r="B20" s="130" t="s">
        <v>283</v>
      </c>
      <c r="C20" s="229">
        <v>0</v>
      </c>
      <c r="D20" s="205">
        <v>40</v>
      </c>
      <c r="E20" s="205">
        <v>40</v>
      </c>
      <c r="F20" s="205">
        <v>40</v>
      </c>
      <c r="G20" s="59">
        <f t="shared" si="0"/>
        <v>0</v>
      </c>
      <c r="H20" s="229"/>
      <c r="I20" s="205"/>
      <c r="J20" s="59">
        <f t="shared" si="1"/>
        <v>0</v>
      </c>
      <c r="K20" s="205"/>
      <c r="L20" s="206"/>
    </row>
    <row r="21" spans="2:12" ht="14.25">
      <c r="B21" s="130" t="s">
        <v>296</v>
      </c>
      <c r="C21" s="229">
        <v>295</v>
      </c>
      <c r="D21" s="205">
        <v>295</v>
      </c>
      <c r="E21" s="205">
        <v>295</v>
      </c>
      <c r="F21" s="205">
        <v>0</v>
      </c>
      <c r="G21" s="59">
        <f t="shared" si="0"/>
        <v>-295</v>
      </c>
      <c r="H21" s="229">
        <v>0</v>
      </c>
      <c r="I21" s="205">
        <v>0</v>
      </c>
      <c r="J21" s="59">
        <f t="shared" si="1"/>
        <v>0</v>
      </c>
      <c r="K21" s="205">
        <v>0</v>
      </c>
      <c r="L21" s="206">
        <v>0</v>
      </c>
    </row>
    <row r="22" spans="2:12" ht="14.25">
      <c r="B22" s="248" t="s">
        <v>229</v>
      </c>
      <c r="C22" s="231">
        <v>130</v>
      </c>
      <c r="D22" s="211">
        <v>130</v>
      </c>
      <c r="E22" s="211">
        <v>130</v>
      </c>
      <c r="F22" s="211">
        <v>130</v>
      </c>
      <c r="G22" s="312">
        <f t="shared" si="0"/>
        <v>0</v>
      </c>
      <c r="H22" s="231">
        <v>0</v>
      </c>
      <c r="I22" s="211">
        <v>0</v>
      </c>
      <c r="J22" s="312">
        <f t="shared" si="1"/>
        <v>0</v>
      </c>
      <c r="K22" s="211">
        <v>0</v>
      </c>
      <c r="L22" s="212">
        <v>0</v>
      </c>
    </row>
    <row r="23" spans="2:12" ht="14.25">
      <c r="B23" s="137"/>
      <c r="C23" s="62"/>
      <c r="D23" s="42"/>
      <c r="E23" s="42"/>
      <c r="F23" s="42"/>
      <c r="G23" s="84"/>
      <c r="H23" s="62"/>
      <c r="I23" s="42"/>
      <c r="J23" s="84"/>
      <c r="K23" s="42"/>
      <c r="L23" s="84"/>
    </row>
    <row r="24" spans="1:12" s="39" customFormat="1" ht="15" thickBot="1">
      <c r="A24" s="92"/>
      <c r="B24" s="265" t="s">
        <v>219</v>
      </c>
      <c r="C24" s="226">
        <f aca="true" t="shared" si="2" ref="C24:L24">SUM(C14:C22)</f>
        <v>600</v>
      </c>
      <c r="D24" s="240">
        <f t="shared" si="2"/>
        <v>719</v>
      </c>
      <c r="E24" s="240">
        <f t="shared" si="2"/>
        <v>719</v>
      </c>
      <c r="F24" s="240">
        <f t="shared" si="2"/>
        <v>509</v>
      </c>
      <c r="G24" s="266">
        <f t="shared" si="2"/>
        <v>-210</v>
      </c>
      <c r="H24" s="226">
        <f t="shared" si="2"/>
        <v>0</v>
      </c>
      <c r="I24" s="86">
        <f>SUM(I14:I22)</f>
        <v>175</v>
      </c>
      <c r="J24" s="266">
        <f>SUM(J14:J22)</f>
        <v>175</v>
      </c>
      <c r="K24" s="86">
        <f t="shared" si="2"/>
        <v>0</v>
      </c>
      <c r="L24" s="217">
        <f t="shared" si="2"/>
        <v>0</v>
      </c>
    </row>
    <row r="25" spans="1:10" s="39" customFormat="1" ht="14.25">
      <c r="A25" s="92"/>
      <c r="B25" s="88"/>
      <c r="C25" s="76"/>
      <c r="D25" s="76"/>
      <c r="E25" s="76"/>
      <c r="F25" s="76"/>
      <c r="G25" s="76"/>
      <c r="H25" s="76"/>
      <c r="I25" s="76"/>
      <c r="J25" s="76"/>
    </row>
    <row r="26" spans="1:12" s="39" customFormat="1" ht="14.25">
      <c r="A26" s="92"/>
      <c r="B26" s="87"/>
      <c r="C26" s="76"/>
      <c r="D26" s="76"/>
      <c r="E26" s="76"/>
      <c r="F26" s="76"/>
      <c r="G26" s="76"/>
      <c r="H26" s="76"/>
      <c r="I26" s="76"/>
      <c r="J26" s="76"/>
      <c r="L26" s="93"/>
    </row>
    <row r="27" spans="1:10" s="39" customFormat="1" ht="14.25">
      <c r="A27" s="92"/>
      <c r="B27" s="235"/>
      <c r="C27" s="76"/>
      <c r="D27" s="76"/>
      <c r="E27" s="76"/>
      <c r="F27" s="76"/>
      <c r="G27" s="76"/>
      <c r="H27" s="76"/>
      <c r="I27" s="76"/>
      <c r="J27" s="76"/>
    </row>
    <row r="28" spans="1:10" s="39" customFormat="1" ht="14.25">
      <c r="A28" s="92"/>
      <c r="B28" s="88"/>
      <c r="C28" s="76"/>
      <c r="D28" s="76"/>
      <c r="E28" s="76"/>
      <c r="F28" s="76"/>
      <c r="G28" s="76"/>
      <c r="H28" s="76"/>
      <c r="I28" s="76"/>
      <c r="J28" s="76"/>
    </row>
    <row r="29" spans="1:10" s="39" customFormat="1" ht="14.25">
      <c r="A29" s="92"/>
      <c r="B29" s="88"/>
      <c r="C29" s="76"/>
      <c r="D29" s="76"/>
      <c r="E29" s="76"/>
      <c r="F29" s="76"/>
      <c r="G29" s="76"/>
      <c r="H29" s="76"/>
      <c r="I29" s="76"/>
      <c r="J29" s="76"/>
    </row>
    <row r="30" spans="1:10" s="39" customFormat="1" ht="14.25">
      <c r="A30" s="1"/>
      <c r="B30" s="235"/>
      <c r="C30" s="76"/>
      <c r="D30" s="76"/>
      <c r="E30" s="76"/>
      <c r="F30" s="76"/>
      <c r="G30" s="76"/>
      <c r="H30" s="76"/>
      <c r="I30" s="76"/>
      <c r="J30" s="76"/>
    </row>
    <row r="31" spans="1:10" s="39" customFormat="1" ht="14.25">
      <c r="A31" s="1"/>
      <c r="B31" s="88"/>
      <c r="C31" s="76"/>
      <c r="D31" s="76"/>
      <c r="E31" s="76"/>
      <c r="F31" s="76"/>
      <c r="G31" s="76"/>
      <c r="H31" s="76"/>
      <c r="I31" s="76"/>
      <c r="J31" s="76"/>
    </row>
    <row r="32" spans="1:10" s="39" customFormat="1" ht="14.25">
      <c r="A32" s="92"/>
      <c r="B32" s="87"/>
      <c r="C32" s="78"/>
      <c r="D32" s="78"/>
      <c r="E32" s="78"/>
      <c r="F32" s="78"/>
      <c r="G32" s="78"/>
      <c r="H32" s="78"/>
      <c r="I32" s="78"/>
      <c r="J32" s="78"/>
    </row>
    <row r="33" spans="1:10" s="39" customFormat="1" ht="14.25">
      <c r="A33" s="92"/>
      <c r="B33" s="88"/>
      <c r="C33" s="76"/>
      <c r="D33" s="76"/>
      <c r="E33" s="76"/>
      <c r="F33" s="76"/>
      <c r="G33" s="76"/>
      <c r="H33" s="76"/>
      <c r="I33" s="76"/>
      <c r="J33" s="76"/>
    </row>
    <row r="34" spans="1:10" s="39" customFormat="1" ht="14.25">
      <c r="A34" s="92"/>
      <c r="B34" s="88"/>
      <c r="C34" s="76"/>
      <c r="D34" s="76"/>
      <c r="E34" s="76"/>
      <c r="F34" s="76"/>
      <c r="G34" s="76"/>
      <c r="H34" s="76"/>
      <c r="I34" s="76"/>
      <c r="J34" s="76"/>
    </row>
    <row r="35" spans="1:10" s="39" customFormat="1" ht="14.25">
      <c r="A35" s="92"/>
      <c r="B35" s="88"/>
      <c r="C35" s="76"/>
      <c r="D35" s="76"/>
      <c r="E35" s="76"/>
      <c r="F35" s="76"/>
      <c r="G35" s="76"/>
      <c r="H35" s="76"/>
      <c r="I35" s="76"/>
      <c r="J35" s="76"/>
    </row>
    <row r="36" spans="1:10" s="39" customFormat="1" ht="14.25">
      <c r="A36" s="92"/>
      <c r="B36" s="88"/>
      <c r="C36" s="76"/>
      <c r="D36" s="76"/>
      <c r="E36" s="76"/>
      <c r="F36" s="76"/>
      <c r="G36" s="76"/>
      <c r="H36" s="76"/>
      <c r="I36" s="76"/>
      <c r="J36" s="76"/>
    </row>
    <row r="37" spans="1:10" s="39" customFormat="1" ht="14.25">
      <c r="A37" s="92"/>
      <c r="B37" s="78"/>
      <c r="C37" s="78"/>
      <c r="D37" s="78"/>
      <c r="E37" s="78"/>
      <c r="F37" s="78"/>
      <c r="G37" s="78"/>
      <c r="H37" s="78"/>
      <c r="I37" s="78"/>
      <c r="J37" s="78"/>
    </row>
    <row r="38" spans="1:10" s="39" customFormat="1" ht="14.25">
      <c r="A38" s="92"/>
      <c r="B38" s="78"/>
      <c r="C38" s="78"/>
      <c r="D38" s="78"/>
      <c r="E38" s="78"/>
      <c r="F38" s="78"/>
      <c r="G38" s="78"/>
      <c r="H38" s="78"/>
      <c r="I38" s="78"/>
      <c r="J38" s="78"/>
    </row>
    <row r="39" spans="1:10" s="39" customFormat="1" ht="14.25">
      <c r="A39" s="92"/>
      <c r="B39" s="78"/>
      <c r="C39" s="78"/>
      <c r="D39" s="78"/>
      <c r="E39" s="78"/>
      <c r="F39" s="78"/>
      <c r="G39" s="78"/>
      <c r="H39" s="78"/>
      <c r="I39" s="78"/>
      <c r="J39" s="78"/>
    </row>
    <row r="40" spans="1:10" s="39" customFormat="1" ht="10.5" customHeight="1">
      <c r="A40" s="92"/>
      <c r="B40" s="88"/>
      <c r="C40" s="78"/>
      <c r="D40" s="78"/>
      <c r="E40" s="78"/>
      <c r="F40" s="78"/>
      <c r="G40" s="78"/>
      <c r="H40" s="92"/>
      <c r="I40" s="92"/>
      <c r="J40" s="92"/>
    </row>
    <row r="41" spans="1:10" s="39" customFormat="1" ht="14.25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0" s="39" customFormat="1" ht="18">
      <c r="A42" s="311"/>
      <c r="B42" s="311"/>
      <c r="C42" s="311"/>
      <c r="D42" s="311"/>
      <c r="E42" s="311"/>
      <c r="F42" s="311"/>
      <c r="G42" s="311"/>
      <c r="H42" s="311"/>
      <c r="I42" s="287"/>
      <c r="J42" s="287"/>
    </row>
    <row r="43" spans="1:10" s="39" customFormat="1" ht="14.25">
      <c r="A43" s="92"/>
      <c r="B43" s="92"/>
      <c r="C43" s="95"/>
      <c r="D43" s="95"/>
      <c r="E43" s="95"/>
      <c r="F43" s="95"/>
      <c r="G43" s="95"/>
      <c r="H43" s="92"/>
      <c r="I43" s="92"/>
      <c r="J43" s="92"/>
    </row>
    <row r="44" spans="1:10" s="39" customFormat="1" ht="14.25">
      <c r="A44" s="92"/>
      <c r="B44" s="75"/>
      <c r="C44" s="74"/>
      <c r="D44" s="74"/>
      <c r="E44" s="74"/>
      <c r="F44" s="74"/>
      <c r="G44" s="74"/>
      <c r="H44" s="74"/>
      <c r="I44" s="74"/>
      <c r="J44" s="74"/>
    </row>
    <row r="45" spans="1:10" s="39" customFormat="1" ht="14.25">
      <c r="A45" s="92"/>
      <c r="B45" s="75"/>
      <c r="C45" s="75"/>
      <c r="D45" s="75"/>
      <c r="E45" s="75"/>
      <c r="F45" s="75"/>
      <c r="G45" s="75"/>
      <c r="H45" s="75"/>
      <c r="I45" s="75"/>
      <c r="J45" s="75"/>
    </row>
    <row r="46" spans="1:10" s="39" customFormat="1" ht="14.25">
      <c r="A46" s="92"/>
      <c r="B46" s="75"/>
      <c r="C46" s="75"/>
      <c r="D46" s="75"/>
      <c r="E46" s="75"/>
      <c r="F46" s="75"/>
      <c r="G46" s="75"/>
      <c r="H46" s="75"/>
      <c r="I46" s="75"/>
      <c r="J46" s="75"/>
    </row>
    <row r="47" spans="1:10" s="39" customFormat="1" ht="14.25">
      <c r="A47" s="92"/>
      <c r="B47" s="75"/>
      <c r="C47" s="75"/>
      <c r="D47" s="75"/>
      <c r="E47" s="75"/>
      <c r="F47" s="75"/>
      <c r="G47" s="75"/>
      <c r="H47" s="75"/>
      <c r="I47" s="75"/>
      <c r="J47" s="75"/>
    </row>
    <row r="48" spans="1:10" s="39" customFormat="1" ht="14.25">
      <c r="A48" s="92"/>
      <c r="B48" s="75"/>
      <c r="C48" s="74"/>
      <c r="D48" s="74"/>
      <c r="E48" s="74"/>
      <c r="F48" s="74"/>
      <c r="G48" s="74"/>
      <c r="H48" s="74"/>
      <c r="I48" s="74"/>
      <c r="J48" s="74"/>
    </row>
    <row r="49" spans="1:10" s="39" customFormat="1" ht="14.25">
      <c r="A49" s="92"/>
      <c r="B49" s="96"/>
      <c r="C49" s="74"/>
      <c r="D49" s="74"/>
      <c r="E49" s="74"/>
      <c r="F49" s="74"/>
      <c r="G49" s="74"/>
      <c r="H49" s="74"/>
      <c r="I49" s="74"/>
      <c r="J49" s="74"/>
    </row>
    <row r="50" spans="1:10" s="39" customFormat="1" ht="14.25">
      <c r="A50" s="92"/>
      <c r="B50" s="96"/>
      <c r="C50" s="76"/>
      <c r="D50" s="76"/>
      <c r="E50" s="76"/>
      <c r="F50" s="76"/>
      <c r="G50" s="76"/>
      <c r="H50" s="76"/>
      <c r="I50" s="76"/>
      <c r="J50" s="76"/>
    </row>
    <row r="51" spans="1:10" s="39" customFormat="1" ht="14.25">
      <c r="A51" s="92"/>
      <c r="B51" s="97"/>
      <c r="C51" s="76"/>
      <c r="D51" s="76"/>
      <c r="E51" s="76"/>
      <c r="F51" s="76"/>
      <c r="G51" s="76"/>
      <c r="H51" s="76"/>
      <c r="I51" s="76"/>
      <c r="J51" s="76"/>
    </row>
    <row r="52" spans="1:10" s="39" customFormat="1" ht="14.25">
      <c r="A52" s="92"/>
      <c r="B52" s="97"/>
      <c r="C52" s="76"/>
      <c r="D52" s="76"/>
      <c r="E52" s="76"/>
      <c r="F52" s="76"/>
      <c r="G52" s="76"/>
      <c r="H52" s="76"/>
      <c r="I52" s="76"/>
      <c r="J52" s="76"/>
    </row>
    <row r="53" spans="1:10" s="39" customFormat="1" ht="14.25">
      <c r="A53" s="92"/>
      <c r="B53" s="96"/>
      <c r="C53" s="76"/>
      <c r="D53" s="76"/>
      <c r="E53" s="76"/>
      <c r="F53" s="76"/>
      <c r="G53" s="76"/>
      <c r="H53" s="76"/>
      <c r="I53" s="76"/>
      <c r="J53" s="76"/>
    </row>
    <row r="54" spans="1:10" s="39" customFormat="1" ht="14.25">
      <c r="A54" s="92"/>
      <c r="B54" s="78"/>
      <c r="C54" s="77"/>
      <c r="D54" s="77"/>
      <c r="E54" s="77"/>
      <c r="F54" s="77"/>
      <c r="G54" s="77"/>
      <c r="H54" s="77"/>
      <c r="I54" s="77"/>
      <c r="J54" s="77"/>
    </row>
    <row r="55" spans="1:10" s="39" customFormat="1" ht="14.25">
      <c r="A55" s="92"/>
      <c r="B55" s="96"/>
      <c r="C55" s="76"/>
      <c r="D55" s="76"/>
      <c r="E55" s="76"/>
      <c r="F55" s="76"/>
      <c r="G55" s="76"/>
      <c r="H55" s="76"/>
      <c r="I55" s="76"/>
      <c r="J55" s="76"/>
    </row>
    <row r="56" spans="1:10" s="39" customFormat="1" ht="14.25">
      <c r="A56" s="92"/>
      <c r="B56" s="87"/>
      <c r="C56" s="76"/>
      <c r="D56" s="76"/>
      <c r="E56" s="76"/>
      <c r="F56" s="76"/>
      <c r="G56" s="76"/>
      <c r="H56" s="76"/>
      <c r="I56" s="76"/>
      <c r="J56" s="76"/>
    </row>
    <row r="57" spans="1:10" s="39" customFormat="1" ht="14.25">
      <c r="A57" s="92"/>
      <c r="B57" s="88"/>
      <c r="C57" s="76"/>
      <c r="D57" s="76"/>
      <c r="E57" s="76"/>
      <c r="F57" s="76"/>
      <c r="G57" s="76"/>
      <c r="H57" s="76"/>
      <c r="I57" s="76"/>
      <c r="J57" s="76"/>
    </row>
    <row r="58" spans="1:10" s="39" customFormat="1" ht="14.25">
      <c r="A58" s="92"/>
      <c r="B58" s="88"/>
      <c r="C58" s="76"/>
      <c r="D58" s="76"/>
      <c r="E58" s="76"/>
      <c r="F58" s="76"/>
      <c r="G58" s="76"/>
      <c r="H58" s="76"/>
      <c r="I58" s="76"/>
      <c r="J58" s="76"/>
    </row>
    <row r="59" spans="1:10" s="39" customFormat="1" ht="14.25">
      <c r="A59" s="92"/>
      <c r="B59" s="88"/>
      <c r="C59" s="76"/>
      <c r="D59" s="76"/>
      <c r="E59" s="76"/>
      <c r="F59" s="76"/>
      <c r="G59" s="76"/>
      <c r="H59" s="76"/>
      <c r="I59" s="76"/>
      <c r="J59" s="76"/>
    </row>
    <row r="60" spans="1:10" s="39" customFormat="1" ht="14.25">
      <c r="A60" s="92"/>
      <c r="B60" s="78"/>
      <c r="C60" s="78"/>
      <c r="D60" s="78"/>
      <c r="E60" s="78"/>
      <c r="F60" s="78"/>
      <c r="G60" s="78"/>
      <c r="H60" s="78"/>
      <c r="I60" s="78"/>
      <c r="J60" s="78"/>
    </row>
    <row r="61" spans="1:10" s="39" customFormat="1" ht="14.25">
      <c r="A61" s="92"/>
      <c r="B61" s="78"/>
      <c r="C61" s="78"/>
      <c r="D61" s="78"/>
      <c r="E61" s="78"/>
      <c r="F61" s="78"/>
      <c r="G61" s="78"/>
      <c r="H61" s="78"/>
      <c r="I61" s="78"/>
      <c r="J61" s="78"/>
    </row>
    <row r="62" spans="1:10" ht="14.25">
      <c r="A62" s="98"/>
      <c r="B62" s="98"/>
      <c r="C62" s="99"/>
      <c r="D62" s="99"/>
      <c r="E62" s="99"/>
      <c r="F62" s="99"/>
      <c r="G62" s="99"/>
      <c r="H62" s="98"/>
      <c r="I62" s="98"/>
      <c r="J62" s="98"/>
    </row>
    <row r="63" spans="1:10" ht="14.25">
      <c r="A63" s="98"/>
      <c r="B63" s="98"/>
      <c r="C63" s="99"/>
      <c r="D63" s="99"/>
      <c r="E63" s="99"/>
      <c r="F63" s="99"/>
      <c r="G63" s="99"/>
      <c r="H63" s="98"/>
      <c r="I63" s="98"/>
      <c r="J63" s="98"/>
    </row>
    <row r="64" spans="1:12" ht="14.25" customHeight="1">
      <c r="A64" s="98"/>
      <c r="B64" s="100"/>
      <c r="C64" s="100"/>
      <c r="D64" s="100"/>
      <c r="E64" s="100"/>
      <c r="F64" s="100"/>
      <c r="G64" s="100"/>
      <c r="H64" s="100"/>
      <c r="I64" s="100"/>
      <c r="J64" s="100"/>
      <c r="K64" s="29"/>
      <c r="L64" s="29"/>
    </row>
    <row r="65" spans="1:12" ht="14.25" customHeight="1">
      <c r="A65" s="98"/>
      <c r="B65" s="100"/>
      <c r="C65" s="100"/>
      <c r="D65" s="100"/>
      <c r="E65" s="100"/>
      <c r="F65" s="100"/>
      <c r="G65" s="100"/>
      <c r="H65" s="100"/>
      <c r="I65" s="100"/>
      <c r="J65" s="100"/>
      <c r="K65" s="29"/>
      <c r="L65" s="29"/>
    </row>
    <row r="66" spans="1:12" ht="15">
      <c r="A66" s="101"/>
      <c r="B66" s="102"/>
      <c r="C66" s="103"/>
      <c r="D66" s="103"/>
      <c r="E66" s="103"/>
      <c r="F66" s="103"/>
      <c r="G66" s="103"/>
      <c r="H66" s="103"/>
      <c r="I66" s="103"/>
      <c r="J66" s="103"/>
      <c r="K66" s="31"/>
      <c r="L66" s="31"/>
    </row>
    <row r="67" spans="1:10" ht="14.25">
      <c r="A67" s="99"/>
      <c r="B67" s="98"/>
      <c r="C67" s="99"/>
      <c r="D67" s="99"/>
      <c r="E67" s="99"/>
      <c r="F67" s="99"/>
      <c r="G67" s="99"/>
      <c r="H67" s="98"/>
      <c r="I67" s="98"/>
      <c r="J67" s="98"/>
    </row>
    <row r="68" spans="1:10" ht="14.25">
      <c r="A68" s="98"/>
      <c r="B68" s="98"/>
      <c r="C68" s="99"/>
      <c r="D68" s="99"/>
      <c r="E68" s="99"/>
      <c r="F68" s="99"/>
      <c r="G68" s="99"/>
      <c r="H68" s="98"/>
      <c r="I68" s="98"/>
      <c r="J68" s="98"/>
    </row>
    <row r="69" spans="1:10" ht="14.25">
      <c r="A69" s="98"/>
      <c r="B69" s="98"/>
      <c r="C69" s="99"/>
      <c r="D69" s="99"/>
      <c r="E69" s="99"/>
      <c r="F69" s="99"/>
      <c r="G69" s="99"/>
      <c r="H69" s="98"/>
      <c r="I69" s="98"/>
      <c r="J69" s="98"/>
    </row>
    <row r="70" spans="1:10" ht="14.25">
      <c r="A70" s="98"/>
      <c r="B70" s="98"/>
      <c r="C70" s="99"/>
      <c r="D70" s="99"/>
      <c r="E70" s="99"/>
      <c r="F70" s="99"/>
      <c r="G70" s="99"/>
      <c r="H70" s="98"/>
      <c r="I70" s="98"/>
      <c r="J70" s="98"/>
    </row>
    <row r="71" spans="1:10" ht="14.25">
      <c r="A71" s="98"/>
      <c r="B71" s="98"/>
      <c r="C71" s="99"/>
      <c r="D71" s="99"/>
      <c r="E71" s="99"/>
      <c r="F71" s="99"/>
      <c r="G71" s="99"/>
      <c r="H71" s="98"/>
      <c r="I71" s="98"/>
      <c r="J71" s="98"/>
    </row>
    <row r="72" spans="1:10" ht="14.25">
      <c r="A72" s="98"/>
      <c r="B72" s="98"/>
      <c r="C72" s="99"/>
      <c r="D72" s="99"/>
      <c r="E72" s="99"/>
      <c r="F72" s="99"/>
      <c r="G72" s="99"/>
      <c r="H72" s="98"/>
      <c r="I72" s="98"/>
      <c r="J72" s="98"/>
    </row>
    <row r="73" spans="1:10" ht="14.25">
      <c r="A73" s="98"/>
      <c r="B73" s="98"/>
      <c r="C73" s="99"/>
      <c r="D73" s="99"/>
      <c r="E73" s="99"/>
      <c r="F73" s="99"/>
      <c r="G73" s="99"/>
      <c r="H73" s="98"/>
      <c r="I73" s="98"/>
      <c r="J73" s="98"/>
    </row>
    <row r="74" spans="1:10" ht="14.25">
      <c r="A74" s="98"/>
      <c r="B74" s="98"/>
      <c r="C74" s="99"/>
      <c r="D74" s="99"/>
      <c r="E74" s="99"/>
      <c r="F74" s="99"/>
      <c r="G74" s="99"/>
      <c r="H74" s="98"/>
      <c r="I74" s="98"/>
      <c r="J74" s="98"/>
    </row>
    <row r="75" spans="1:10" ht="14.25">
      <c r="A75" s="98"/>
      <c r="B75" s="98"/>
      <c r="C75" s="99"/>
      <c r="D75" s="99"/>
      <c r="E75" s="99"/>
      <c r="F75" s="99"/>
      <c r="G75" s="99"/>
      <c r="H75" s="98"/>
      <c r="I75" s="98"/>
      <c r="J75" s="98"/>
    </row>
    <row r="76" spans="1:10" ht="14.25">
      <c r="A76" s="98"/>
      <c r="B76" s="98"/>
      <c r="C76" s="99"/>
      <c r="D76" s="99"/>
      <c r="E76" s="99"/>
      <c r="F76" s="99"/>
      <c r="G76" s="99"/>
      <c r="H76" s="98"/>
      <c r="I76" s="98"/>
      <c r="J76" s="98"/>
    </row>
    <row r="77" spans="1:10" ht="14.25">
      <c r="A77" s="98"/>
      <c r="B77" s="104"/>
      <c r="C77" s="99"/>
      <c r="D77" s="99"/>
      <c r="E77" s="99"/>
      <c r="F77" s="99"/>
      <c r="G77" s="99"/>
      <c r="H77" s="98"/>
      <c r="I77" s="98"/>
      <c r="J77" s="98"/>
    </row>
    <row r="78" spans="1:10" ht="15">
      <c r="A78" s="98"/>
      <c r="B78" s="105"/>
      <c r="C78" s="99"/>
      <c r="D78" s="99"/>
      <c r="E78" s="99"/>
      <c r="F78" s="99"/>
      <c r="G78" s="99"/>
      <c r="H78" s="98"/>
      <c r="I78" s="98"/>
      <c r="J78" s="98"/>
    </row>
    <row r="79" spans="1:10" ht="14.25">
      <c r="A79" s="98"/>
      <c r="B79" s="98"/>
      <c r="C79" s="99"/>
      <c r="D79" s="99"/>
      <c r="E79" s="99"/>
      <c r="F79" s="99"/>
      <c r="G79" s="99"/>
      <c r="H79" s="98"/>
      <c r="I79" s="98"/>
      <c r="J79" s="98"/>
    </row>
    <row r="80" spans="1:10" ht="14.25">
      <c r="A80" s="98"/>
      <c r="B80" s="98"/>
      <c r="C80" s="99"/>
      <c r="D80" s="99"/>
      <c r="E80" s="99"/>
      <c r="F80" s="99"/>
      <c r="G80" s="99"/>
      <c r="H80" s="98"/>
      <c r="I80" s="98"/>
      <c r="J80" s="98"/>
    </row>
    <row r="81" spans="1:10" ht="14.25">
      <c r="A81" s="98"/>
      <c r="B81" s="98"/>
      <c r="C81" s="99"/>
      <c r="D81" s="99"/>
      <c r="E81" s="99"/>
      <c r="F81" s="99"/>
      <c r="G81" s="99"/>
      <c r="H81" s="98"/>
      <c r="I81" s="98"/>
      <c r="J81" s="98"/>
    </row>
    <row r="82" spans="1:10" ht="14.25">
      <c r="A82" s="98"/>
      <c r="B82" s="98"/>
      <c r="C82" s="99"/>
      <c r="D82" s="99"/>
      <c r="E82" s="99"/>
      <c r="F82" s="99"/>
      <c r="G82" s="99"/>
      <c r="H82" s="98"/>
      <c r="I82" s="98"/>
      <c r="J82" s="98"/>
    </row>
    <row r="83" spans="1:10" ht="14.25">
      <c r="A83" s="98"/>
      <c r="B83" s="98"/>
      <c r="C83" s="99"/>
      <c r="D83" s="99"/>
      <c r="E83" s="99"/>
      <c r="F83" s="99"/>
      <c r="G83" s="99"/>
      <c r="H83" s="98"/>
      <c r="I83" s="98"/>
      <c r="J83" s="98"/>
    </row>
    <row r="84" spans="1:10" ht="14.25">
      <c r="A84" s="98"/>
      <c r="B84" s="98"/>
      <c r="C84" s="99"/>
      <c r="D84" s="99"/>
      <c r="E84" s="99"/>
      <c r="F84" s="99"/>
      <c r="G84" s="99"/>
      <c r="H84" s="98"/>
      <c r="I84" s="98"/>
      <c r="J84" s="98"/>
    </row>
    <row r="85" spans="1:10" ht="14.25">
      <c r="A85" s="98"/>
      <c r="B85" s="98"/>
      <c r="C85" s="99"/>
      <c r="D85" s="99"/>
      <c r="E85" s="99"/>
      <c r="F85" s="99"/>
      <c r="G85" s="99"/>
      <c r="H85" s="98"/>
      <c r="I85" s="98"/>
      <c r="J85" s="98"/>
    </row>
    <row r="86" spans="1:10" ht="14.25">
      <c r="A86" s="98"/>
      <c r="B86" s="98"/>
      <c r="C86" s="99"/>
      <c r="D86" s="99"/>
      <c r="E86" s="99"/>
      <c r="F86" s="99"/>
      <c r="G86" s="99"/>
      <c r="H86" s="98"/>
      <c r="I86" s="98"/>
      <c r="J86" s="98"/>
    </row>
    <row r="87" spans="1:10" ht="14.25">
      <c r="A87" s="98"/>
      <c r="B87" s="98"/>
      <c r="C87" s="99"/>
      <c r="D87" s="99"/>
      <c r="E87" s="99"/>
      <c r="F87" s="99"/>
      <c r="G87" s="99"/>
      <c r="H87" s="98"/>
      <c r="I87" s="98"/>
      <c r="J87" s="98"/>
    </row>
    <row r="88" spans="1:10" ht="14.25">
      <c r="A88" s="98"/>
      <c r="B88" s="98"/>
      <c r="C88" s="99"/>
      <c r="D88" s="99"/>
      <c r="E88" s="99"/>
      <c r="F88" s="99"/>
      <c r="G88" s="99"/>
      <c r="H88" s="98"/>
      <c r="I88" s="98"/>
      <c r="J88" s="98"/>
    </row>
    <row r="89" spans="1:10" ht="14.25">
      <c r="A89" s="98"/>
      <c r="B89" s="98"/>
      <c r="C89" s="99"/>
      <c r="D89" s="99"/>
      <c r="E89" s="99"/>
      <c r="F89" s="99"/>
      <c r="G89" s="99"/>
      <c r="H89" s="98"/>
      <c r="I89" s="98"/>
      <c r="J89" s="98"/>
    </row>
    <row r="90" spans="1:10" ht="14.25">
      <c r="A90" s="98"/>
      <c r="B90" s="98"/>
      <c r="C90" s="99"/>
      <c r="D90" s="99"/>
      <c r="E90" s="99"/>
      <c r="F90" s="99"/>
      <c r="G90" s="99"/>
      <c r="H90" s="98"/>
      <c r="I90" s="98"/>
      <c r="J90" s="98"/>
    </row>
    <row r="91" spans="1:10" ht="14.25">
      <c r="A91" s="98"/>
      <c r="B91" s="98"/>
      <c r="C91" s="99"/>
      <c r="D91" s="99"/>
      <c r="E91" s="99"/>
      <c r="F91" s="99"/>
      <c r="G91" s="99"/>
      <c r="H91" s="98"/>
      <c r="I91" s="98"/>
      <c r="J91" s="98"/>
    </row>
    <row r="92" spans="1:10" ht="14.25">
      <c r="A92" s="98"/>
      <c r="B92" s="98"/>
      <c r="C92" s="99"/>
      <c r="D92" s="99"/>
      <c r="E92" s="99"/>
      <c r="F92" s="99"/>
      <c r="G92" s="99"/>
      <c r="H92" s="98"/>
      <c r="I92" s="98"/>
      <c r="J92" s="98"/>
    </row>
    <row r="93" spans="1:10" ht="14.25">
      <c r="A93" s="98"/>
      <c r="B93" s="98"/>
      <c r="C93" s="99"/>
      <c r="D93" s="99"/>
      <c r="E93" s="99"/>
      <c r="F93" s="99"/>
      <c r="G93" s="99"/>
      <c r="H93" s="98"/>
      <c r="I93" s="98"/>
      <c r="J93" s="98"/>
    </row>
    <row r="94" spans="1:10" ht="14.25">
      <c r="A94" s="98"/>
      <c r="B94" s="98"/>
      <c r="C94" s="99"/>
      <c r="D94" s="99"/>
      <c r="E94" s="99"/>
      <c r="F94" s="99"/>
      <c r="G94" s="99"/>
      <c r="H94" s="98"/>
      <c r="I94" s="98"/>
      <c r="J94" s="98"/>
    </row>
    <row r="95" spans="1:10" ht="14.25">
      <c r="A95" s="98"/>
      <c r="B95" s="98"/>
      <c r="C95" s="99"/>
      <c r="D95" s="99"/>
      <c r="E95" s="99"/>
      <c r="F95" s="99"/>
      <c r="G95" s="99"/>
      <c r="H95" s="98"/>
      <c r="I95" s="98"/>
      <c r="J95" s="98"/>
    </row>
    <row r="96" spans="1:10" ht="14.25">
      <c r="A96" s="98"/>
      <c r="B96" s="98"/>
      <c r="C96" s="99"/>
      <c r="D96" s="99"/>
      <c r="E96" s="99"/>
      <c r="F96" s="99"/>
      <c r="G96" s="99"/>
      <c r="H96" s="98"/>
      <c r="I96" s="98"/>
      <c r="J96" s="98"/>
    </row>
    <row r="97" spans="1:10" ht="14.25">
      <c r="A97" s="98"/>
      <c r="B97" s="98"/>
      <c r="C97" s="99"/>
      <c r="D97" s="99"/>
      <c r="E97" s="99"/>
      <c r="F97" s="99"/>
      <c r="G97" s="99"/>
      <c r="H97" s="98"/>
      <c r="I97" s="98"/>
      <c r="J97" s="98"/>
    </row>
    <row r="98" spans="1:10" ht="14.25">
      <c r="A98" s="98"/>
      <c r="B98" s="98"/>
      <c r="C98" s="99"/>
      <c r="D98" s="99"/>
      <c r="E98" s="99"/>
      <c r="F98" s="99"/>
      <c r="G98" s="99"/>
      <c r="H98" s="98"/>
      <c r="I98" s="98"/>
      <c r="J98" s="98"/>
    </row>
    <row r="99" spans="1:10" ht="14.25">
      <c r="A99" s="98"/>
      <c r="B99" s="98"/>
      <c r="C99" s="99"/>
      <c r="D99" s="99"/>
      <c r="E99" s="99"/>
      <c r="F99" s="99"/>
      <c r="G99" s="99"/>
      <c r="H99" s="98"/>
      <c r="I99" s="98"/>
      <c r="J99" s="98"/>
    </row>
    <row r="100" spans="1:10" ht="14.25">
      <c r="A100" s="98"/>
      <c r="B100" s="98"/>
      <c r="C100" s="99"/>
      <c r="D100" s="99"/>
      <c r="E100" s="99"/>
      <c r="F100" s="99"/>
      <c r="G100" s="99"/>
      <c r="H100" s="98"/>
      <c r="I100" s="98"/>
      <c r="J100" s="98"/>
    </row>
    <row r="101" spans="1:10" ht="14.25">
      <c r="A101" s="98"/>
      <c r="B101" s="98"/>
      <c r="C101" s="99"/>
      <c r="D101" s="99"/>
      <c r="E101" s="99"/>
      <c r="F101" s="99"/>
      <c r="G101" s="99"/>
      <c r="H101" s="98"/>
      <c r="I101" s="98"/>
      <c r="J101" s="98"/>
    </row>
    <row r="102" spans="1:10" ht="14.25">
      <c r="A102" s="98"/>
      <c r="B102" s="98"/>
      <c r="C102" s="99"/>
      <c r="D102" s="99"/>
      <c r="E102" s="99"/>
      <c r="F102" s="99"/>
      <c r="G102" s="99"/>
      <c r="H102" s="98"/>
      <c r="I102" s="98"/>
      <c r="J102" s="98"/>
    </row>
    <row r="103" spans="1:10" ht="14.25">
      <c r="A103" s="98"/>
      <c r="B103" s="98"/>
      <c r="C103" s="99"/>
      <c r="D103" s="99"/>
      <c r="E103" s="99"/>
      <c r="F103" s="99"/>
      <c r="G103" s="99"/>
      <c r="H103" s="98"/>
      <c r="I103" s="98"/>
      <c r="J103" s="98"/>
    </row>
    <row r="104" spans="1:10" ht="14.25">
      <c r="A104" s="98"/>
      <c r="B104" s="98"/>
      <c r="C104" s="99"/>
      <c r="D104" s="99"/>
      <c r="E104" s="99"/>
      <c r="F104" s="99"/>
      <c r="G104" s="99"/>
      <c r="H104" s="98"/>
      <c r="I104" s="98"/>
      <c r="J104" s="98"/>
    </row>
    <row r="105" spans="1:10" ht="14.25">
      <c r="A105" s="98"/>
      <c r="B105" s="98"/>
      <c r="C105" s="99"/>
      <c r="D105" s="99"/>
      <c r="E105" s="99"/>
      <c r="F105" s="99"/>
      <c r="G105" s="99"/>
      <c r="H105" s="98"/>
      <c r="I105" s="98"/>
      <c r="J105" s="98"/>
    </row>
    <row r="106" spans="1:10" ht="14.25">
      <c r="A106" s="98"/>
      <c r="B106" s="98"/>
      <c r="C106" s="99"/>
      <c r="D106" s="99"/>
      <c r="E106" s="99"/>
      <c r="F106" s="99"/>
      <c r="G106" s="99"/>
      <c r="H106" s="98"/>
      <c r="I106" s="98"/>
      <c r="J106" s="98"/>
    </row>
    <row r="107" spans="1:10" ht="14.25">
      <c r="A107" s="98"/>
      <c r="B107" s="98"/>
      <c r="C107" s="99"/>
      <c r="D107" s="99"/>
      <c r="E107" s="99"/>
      <c r="F107" s="99"/>
      <c r="G107" s="99"/>
      <c r="H107" s="98"/>
      <c r="I107" s="98"/>
      <c r="J107" s="98"/>
    </row>
    <row r="108" spans="1:10" ht="14.25">
      <c r="A108" s="98"/>
      <c r="B108" s="98"/>
      <c r="C108" s="99"/>
      <c r="D108" s="99"/>
      <c r="E108" s="99"/>
      <c r="F108" s="99"/>
      <c r="G108" s="99"/>
      <c r="H108" s="98"/>
      <c r="I108" s="98"/>
      <c r="J108" s="98"/>
    </row>
    <row r="109" spans="1:10" ht="14.25">
      <c r="A109" s="98"/>
      <c r="B109" s="98"/>
      <c r="C109" s="99"/>
      <c r="D109" s="99"/>
      <c r="E109" s="99"/>
      <c r="F109" s="99"/>
      <c r="G109" s="99"/>
      <c r="H109" s="98"/>
      <c r="I109" s="98"/>
      <c r="J109" s="98"/>
    </row>
    <row r="110" spans="1:10" ht="14.25">
      <c r="A110" s="98"/>
      <c r="B110" s="98"/>
      <c r="C110" s="99"/>
      <c r="D110" s="99"/>
      <c r="E110" s="99"/>
      <c r="F110" s="99"/>
      <c r="G110" s="99"/>
      <c r="H110" s="98"/>
      <c r="I110" s="98"/>
      <c r="J110" s="98"/>
    </row>
    <row r="111" spans="1:10" ht="14.25">
      <c r="A111" s="98"/>
      <c r="B111" s="98"/>
      <c r="C111" s="99"/>
      <c r="D111" s="99"/>
      <c r="E111" s="99"/>
      <c r="F111" s="99"/>
      <c r="G111" s="99"/>
      <c r="H111" s="98"/>
      <c r="I111" s="98"/>
      <c r="J111" s="98"/>
    </row>
    <row r="112" spans="1:10" ht="14.25">
      <c r="A112" s="98"/>
      <c r="B112" s="98"/>
      <c r="C112" s="99"/>
      <c r="D112" s="99"/>
      <c r="E112" s="99"/>
      <c r="F112" s="99"/>
      <c r="G112" s="99"/>
      <c r="H112" s="98"/>
      <c r="I112" s="98"/>
      <c r="J112" s="98"/>
    </row>
    <row r="113" spans="1:10" ht="14.25">
      <c r="A113" s="98"/>
      <c r="B113" s="98"/>
      <c r="C113" s="99"/>
      <c r="D113" s="99"/>
      <c r="E113" s="99"/>
      <c r="F113" s="99"/>
      <c r="G113" s="99"/>
      <c r="H113" s="98"/>
      <c r="I113" s="98"/>
      <c r="J113" s="98"/>
    </row>
    <row r="114" spans="1:10" ht="14.25">
      <c r="A114" s="98"/>
      <c r="B114" s="98"/>
      <c r="C114" s="99"/>
      <c r="D114" s="99"/>
      <c r="E114" s="99"/>
      <c r="F114" s="99"/>
      <c r="G114" s="99"/>
      <c r="H114" s="98"/>
      <c r="I114" s="98"/>
      <c r="J114" s="98"/>
    </row>
    <row r="115" spans="1:10" ht="14.25">
      <c r="A115" s="98"/>
      <c r="B115" s="98"/>
      <c r="C115" s="99"/>
      <c r="D115" s="99"/>
      <c r="E115" s="99"/>
      <c r="F115" s="99"/>
      <c r="G115" s="99"/>
      <c r="H115" s="98"/>
      <c r="I115" s="98"/>
      <c r="J115" s="98"/>
    </row>
    <row r="116" spans="1:10" ht="14.25">
      <c r="A116" s="98"/>
      <c r="B116" s="98"/>
      <c r="C116" s="99"/>
      <c r="D116" s="99"/>
      <c r="E116" s="99"/>
      <c r="F116" s="99"/>
      <c r="G116" s="99"/>
      <c r="H116" s="98"/>
      <c r="I116" s="98"/>
      <c r="J116" s="98"/>
    </row>
    <row r="117" spans="1:10" ht="14.25">
      <c r="A117" s="98"/>
      <c r="B117" s="98"/>
      <c r="C117" s="99"/>
      <c r="D117" s="99"/>
      <c r="E117" s="99"/>
      <c r="F117" s="99"/>
      <c r="G117" s="99"/>
      <c r="H117" s="98"/>
      <c r="I117" s="98"/>
      <c r="J117" s="98"/>
    </row>
    <row r="118" spans="1:10" ht="14.25">
      <c r="A118" s="98"/>
      <c r="B118" s="98"/>
      <c r="C118" s="99"/>
      <c r="D118" s="99"/>
      <c r="E118" s="99"/>
      <c r="F118" s="99"/>
      <c r="G118" s="99"/>
      <c r="H118" s="98"/>
      <c r="I118" s="98"/>
      <c r="J118" s="98"/>
    </row>
    <row r="119" spans="1:10" ht="14.25">
      <c r="A119" s="98"/>
      <c r="B119" s="98"/>
      <c r="C119" s="99"/>
      <c r="D119" s="99"/>
      <c r="E119" s="99"/>
      <c r="F119" s="99"/>
      <c r="G119" s="99"/>
      <c r="H119" s="98"/>
      <c r="I119" s="98"/>
      <c r="J119" s="98"/>
    </row>
    <row r="120" spans="1:10" ht="14.25">
      <c r="A120" s="98"/>
      <c r="B120" s="98"/>
      <c r="C120" s="99"/>
      <c r="D120" s="99"/>
      <c r="E120" s="99"/>
      <c r="F120" s="99"/>
      <c r="G120" s="99"/>
      <c r="H120" s="98"/>
      <c r="I120" s="98"/>
      <c r="J120" s="98"/>
    </row>
    <row r="121" spans="1:10" ht="14.25">
      <c r="A121" s="98"/>
      <c r="B121" s="98"/>
      <c r="C121" s="99"/>
      <c r="D121" s="99"/>
      <c r="E121" s="99"/>
      <c r="F121" s="99"/>
      <c r="G121" s="99"/>
      <c r="H121" s="98"/>
      <c r="I121" s="98"/>
      <c r="J121" s="98"/>
    </row>
    <row r="122" spans="1:10" ht="14.25">
      <c r="A122" s="98"/>
      <c r="B122" s="98"/>
      <c r="C122" s="99"/>
      <c r="D122" s="99"/>
      <c r="E122" s="99"/>
      <c r="F122" s="99"/>
      <c r="G122" s="99"/>
      <c r="H122" s="98"/>
      <c r="I122" s="98"/>
      <c r="J122" s="98"/>
    </row>
    <row r="123" spans="1:10" ht="14.25">
      <c r="A123" s="98"/>
      <c r="B123" s="98"/>
      <c r="C123" s="99"/>
      <c r="D123" s="99"/>
      <c r="E123" s="99"/>
      <c r="F123" s="99"/>
      <c r="G123" s="99"/>
      <c r="H123" s="98"/>
      <c r="I123" s="98"/>
      <c r="J123" s="98"/>
    </row>
    <row r="124" spans="1:10" ht="14.25">
      <c r="A124" s="98"/>
      <c r="B124" s="98"/>
      <c r="C124" s="99"/>
      <c r="D124" s="99"/>
      <c r="E124" s="99"/>
      <c r="F124" s="99"/>
      <c r="G124" s="99"/>
      <c r="H124" s="98"/>
      <c r="I124" s="98"/>
      <c r="J124" s="98"/>
    </row>
    <row r="125" spans="1:10" ht="14.25">
      <c r="A125" s="98"/>
      <c r="B125" s="98"/>
      <c r="C125" s="99"/>
      <c r="D125" s="99"/>
      <c r="E125" s="99"/>
      <c r="F125" s="99"/>
      <c r="G125" s="99"/>
      <c r="H125" s="98"/>
      <c r="I125" s="98"/>
      <c r="J125" s="98"/>
    </row>
    <row r="126" spans="1:10" ht="14.25">
      <c r="A126" s="98"/>
      <c r="B126" s="98"/>
      <c r="C126" s="99"/>
      <c r="D126" s="99"/>
      <c r="E126" s="99"/>
      <c r="F126" s="99"/>
      <c r="G126" s="99"/>
      <c r="H126" s="98"/>
      <c r="I126" s="98"/>
      <c r="J126" s="98"/>
    </row>
    <row r="127" spans="1:10" ht="14.25">
      <c r="A127" s="98"/>
      <c r="B127" s="98"/>
      <c r="C127" s="99"/>
      <c r="D127" s="99"/>
      <c r="E127" s="99"/>
      <c r="F127" s="99"/>
      <c r="G127" s="99"/>
      <c r="H127" s="98"/>
      <c r="I127" s="98"/>
      <c r="J127" s="98"/>
    </row>
    <row r="128" spans="1:10" ht="14.25">
      <c r="A128" s="98"/>
      <c r="B128" s="98"/>
      <c r="C128" s="99"/>
      <c r="D128" s="99"/>
      <c r="E128" s="99"/>
      <c r="F128" s="99"/>
      <c r="G128" s="99"/>
      <c r="H128" s="98"/>
      <c r="I128" s="98"/>
      <c r="J128" s="98"/>
    </row>
    <row r="129" spans="1:10" ht="14.25">
      <c r="A129" s="98"/>
      <c r="B129" s="98"/>
      <c r="C129" s="99"/>
      <c r="D129" s="99"/>
      <c r="E129" s="99"/>
      <c r="F129" s="99"/>
      <c r="G129" s="99"/>
      <c r="H129" s="98"/>
      <c r="I129" s="98"/>
      <c r="J129" s="98"/>
    </row>
    <row r="130" spans="1:10" ht="14.25">
      <c r="A130" s="98"/>
      <c r="B130" s="98"/>
      <c r="C130" s="99"/>
      <c r="D130" s="99"/>
      <c r="E130" s="99"/>
      <c r="F130" s="99"/>
      <c r="G130" s="99"/>
      <c r="H130" s="98"/>
      <c r="I130" s="98"/>
      <c r="J130" s="98"/>
    </row>
    <row r="131" spans="1:10" ht="14.25">
      <c r="A131" s="98"/>
      <c r="B131" s="98"/>
      <c r="C131" s="99"/>
      <c r="D131" s="99"/>
      <c r="E131" s="99"/>
      <c r="F131" s="99"/>
      <c r="G131" s="99"/>
      <c r="H131" s="98"/>
      <c r="I131" s="98"/>
      <c r="J131" s="98"/>
    </row>
    <row r="132" spans="1:10" ht="14.25">
      <c r="A132" s="98"/>
      <c r="B132" s="98"/>
      <c r="C132" s="99"/>
      <c r="D132" s="99"/>
      <c r="E132" s="99"/>
      <c r="F132" s="99"/>
      <c r="G132" s="99"/>
      <c r="H132" s="98"/>
      <c r="I132" s="98"/>
      <c r="J132" s="98"/>
    </row>
    <row r="133" spans="1:10" ht="14.25">
      <c r="A133" s="98"/>
      <c r="B133" s="98"/>
      <c r="C133" s="99"/>
      <c r="D133" s="99"/>
      <c r="E133" s="99"/>
      <c r="F133" s="99"/>
      <c r="G133" s="99"/>
      <c r="H133" s="98"/>
      <c r="I133" s="98"/>
      <c r="J133" s="98"/>
    </row>
    <row r="134" spans="1:10" ht="14.25">
      <c r="A134" s="98"/>
      <c r="B134" s="98"/>
      <c r="C134" s="99"/>
      <c r="D134" s="99"/>
      <c r="E134" s="99"/>
      <c r="F134" s="99"/>
      <c r="G134" s="99"/>
      <c r="H134" s="98"/>
      <c r="I134" s="98"/>
      <c r="J134" s="98"/>
    </row>
    <row r="135" spans="1:10" ht="14.25">
      <c r="A135" s="98"/>
      <c r="B135" s="98"/>
      <c r="C135" s="99"/>
      <c r="D135" s="99"/>
      <c r="E135" s="99"/>
      <c r="F135" s="99"/>
      <c r="G135" s="99"/>
      <c r="H135" s="98"/>
      <c r="I135" s="98"/>
      <c r="J135" s="98"/>
    </row>
    <row r="136" spans="1:10" ht="14.25">
      <c r="A136" s="98"/>
      <c r="B136" s="98"/>
      <c r="C136" s="99"/>
      <c r="D136" s="99"/>
      <c r="E136" s="99"/>
      <c r="F136" s="99"/>
      <c r="G136" s="99"/>
      <c r="H136" s="98"/>
      <c r="I136" s="98"/>
      <c r="J136" s="98"/>
    </row>
    <row r="137" spans="1:10" ht="14.25">
      <c r="A137" s="98"/>
      <c r="B137" s="98"/>
      <c r="C137" s="99"/>
      <c r="D137" s="99"/>
      <c r="E137" s="99"/>
      <c r="F137" s="99"/>
      <c r="G137" s="99"/>
      <c r="H137" s="98"/>
      <c r="I137" s="98"/>
      <c r="J137" s="98"/>
    </row>
    <row r="138" spans="1:10" ht="14.25">
      <c r="A138" s="98"/>
      <c r="B138" s="98"/>
      <c r="C138" s="99"/>
      <c r="D138" s="99"/>
      <c r="E138" s="99"/>
      <c r="F138" s="99"/>
      <c r="G138" s="99"/>
      <c r="H138" s="98"/>
      <c r="I138" s="98"/>
      <c r="J138" s="98"/>
    </row>
    <row r="139" spans="1:10" ht="14.25">
      <c r="A139" s="98"/>
      <c r="B139" s="98"/>
      <c r="C139" s="99"/>
      <c r="D139" s="99"/>
      <c r="E139" s="99"/>
      <c r="F139" s="99"/>
      <c r="G139" s="99"/>
      <c r="H139" s="98"/>
      <c r="I139" s="98"/>
      <c r="J139" s="98"/>
    </row>
    <row r="140" spans="1:10" ht="14.25">
      <c r="A140" s="98"/>
      <c r="B140" s="98"/>
      <c r="C140" s="99"/>
      <c r="D140" s="99"/>
      <c r="E140" s="99"/>
      <c r="F140" s="99"/>
      <c r="G140" s="99"/>
      <c r="H140" s="98"/>
      <c r="I140" s="98"/>
      <c r="J140" s="98"/>
    </row>
    <row r="141" spans="1:10" ht="14.25">
      <c r="A141" s="98"/>
      <c r="B141" s="98"/>
      <c r="C141" s="99"/>
      <c r="D141" s="99"/>
      <c r="E141" s="99"/>
      <c r="F141" s="99"/>
      <c r="G141" s="99"/>
      <c r="H141" s="98"/>
      <c r="I141" s="98"/>
      <c r="J141" s="98"/>
    </row>
    <row r="142" spans="1:10" ht="14.25">
      <c r="A142" s="98"/>
      <c r="B142" s="98"/>
      <c r="C142" s="99"/>
      <c r="D142" s="99"/>
      <c r="E142" s="99"/>
      <c r="F142" s="99"/>
      <c r="G142" s="99"/>
      <c r="H142" s="98"/>
      <c r="I142" s="98"/>
      <c r="J142" s="98"/>
    </row>
    <row r="143" spans="1:10" ht="14.25">
      <c r="A143" s="98"/>
      <c r="B143" s="98"/>
      <c r="C143" s="99"/>
      <c r="D143" s="99"/>
      <c r="E143" s="99"/>
      <c r="F143" s="99"/>
      <c r="G143" s="99"/>
      <c r="H143" s="98"/>
      <c r="I143" s="98"/>
      <c r="J143" s="98"/>
    </row>
    <row r="144" spans="1:10" ht="14.25">
      <c r="A144" s="98"/>
      <c r="B144" s="98"/>
      <c r="C144" s="99"/>
      <c r="D144" s="99"/>
      <c r="E144" s="99"/>
      <c r="F144" s="99"/>
      <c r="G144" s="99"/>
      <c r="H144" s="98"/>
      <c r="I144" s="98"/>
      <c r="J144" s="98"/>
    </row>
    <row r="145" spans="1:10" ht="14.25">
      <c r="A145" s="98"/>
      <c r="B145" s="98"/>
      <c r="C145" s="99"/>
      <c r="D145" s="99"/>
      <c r="E145" s="99"/>
      <c r="F145" s="99"/>
      <c r="G145" s="99"/>
      <c r="H145" s="98"/>
      <c r="I145" s="98"/>
      <c r="J145" s="98"/>
    </row>
    <row r="146" spans="1:10" ht="14.25">
      <c r="A146" s="98"/>
      <c r="B146" s="98"/>
      <c r="C146" s="99"/>
      <c r="D146" s="99"/>
      <c r="E146" s="99"/>
      <c r="F146" s="99"/>
      <c r="G146" s="99"/>
      <c r="H146" s="98"/>
      <c r="I146" s="98"/>
      <c r="J146" s="98"/>
    </row>
    <row r="147" spans="1:10" ht="14.25">
      <c r="A147" s="98"/>
      <c r="B147" s="98"/>
      <c r="C147" s="99"/>
      <c r="D147" s="99"/>
      <c r="E147" s="99"/>
      <c r="F147" s="99"/>
      <c r="G147" s="99"/>
      <c r="H147" s="98"/>
      <c r="I147" s="98"/>
      <c r="J147" s="98"/>
    </row>
    <row r="148" spans="1:10" ht="14.25">
      <c r="A148" s="98"/>
      <c r="B148" s="98"/>
      <c r="C148" s="99"/>
      <c r="D148" s="99"/>
      <c r="E148" s="99"/>
      <c r="F148" s="99"/>
      <c r="G148" s="99"/>
      <c r="H148" s="98"/>
      <c r="I148" s="98"/>
      <c r="J148" s="98"/>
    </row>
    <row r="149" spans="1:10" ht="14.25">
      <c r="A149" s="98"/>
      <c r="B149" s="98"/>
      <c r="C149" s="99"/>
      <c r="D149" s="99"/>
      <c r="E149" s="99"/>
      <c r="F149" s="99"/>
      <c r="G149" s="99"/>
      <c r="H149" s="98"/>
      <c r="I149" s="98"/>
      <c r="J149" s="98"/>
    </row>
    <row r="150" spans="1:10" ht="14.25">
      <c r="A150" s="98"/>
      <c r="B150" s="98"/>
      <c r="C150" s="99"/>
      <c r="D150" s="99"/>
      <c r="E150" s="99"/>
      <c r="F150" s="99"/>
      <c r="G150" s="99"/>
      <c r="H150" s="98"/>
      <c r="I150" s="98"/>
      <c r="J150" s="98"/>
    </row>
    <row r="151" spans="1:10" ht="14.25">
      <c r="A151" s="98"/>
      <c r="B151" s="98"/>
      <c r="C151" s="99"/>
      <c r="D151" s="99"/>
      <c r="E151" s="99"/>
      <c r="F151" s="99"/>
      <c r="G151" s="99"/>
      <c r="H151" s="98"/>
      <c r="I151" s="98"/>
      <c r="J151" s="98"/>
    </row>
    <row r="152" spans="1:10" ht="14.25">
      <c r="A152" s="98"/>
      <c r="B152" s="98"/>
      <c r="C152" s="99"/>
      <c r="D152" s="99"/>
      <c r="E152" s="99"/>
      <c r="F152" s="99"/>
      <c r="G152" s="99"/>
      <c r="H152" s="98"/>
      <c r="I152" s="98"/>
      <c r="J152" s="98"/>
    </row>
    <row r="153" spans="1:10" ht="14.25">
      <c r="A153" s="98"/>
      <c r="B153" s="98"/>
      <c r="C153" s="99"/>
      <c r="D153" s="99"/>
      <c r="E153" s="99"/>
      <c r="F153" s="99"/>
      <c r="G153" s="99"/>
      <c r="H153" s="98"/>
      <c r="I153" s="98"/>
      <c r="J153" s="98"/>
    </row>
    <row r="154" spans="1:10" ht="14.25">
      <c r="A154" s="98"/>
      <c r="B154" s="98"/>
      <c r="C154" s="99"/>
      <c r="D154" s="99"/>
      <c r="E154" s="99"/>
      <c r="F154" s="99"/>
      <c r="G154" s="99"/>
      <c r="H154" s="98"/>
      <c r="I154" s="98"/>
      <c r="J154" s="98"/>
    </row>
    <row r="155" spans="1:10" ht="14.25">
      <c r="A155" s="98"/>
      <c r="B155" s="98"/>
      <c r="C155" s="99"/>
      <c r="D155" s="99"/>
      <c r="E155" s="99"/>
      <c r="F155" s="99"/>
      <c r="G155" s="99"/>
      <c r="H155" s="98"/>
      <c r="I155" s="98"/>
      <c r="J155" s="98"/>
    </row>
    <row r="156" spans="1:10" ht="14.25">
      <c r="A156" s="98"/>
      <c r="B156" s="98"/>
      <c r="C156" s="99"/>
      <c r="D156" s="99"/>
      <c r="E156" s="99"/>
      <c r="F156" s="99"/>
      <c r="G156" s="99"/>
      <c r="H156" s="98"/>
      <c r="I156" s="98"/>
      <c r="J156" s="98"/>
    </row>
    <row r="157" spans="1:10" ht="14.25">
      <c r="A157" s="98"/>
      <c r="B157" s="98"/>
      <c r="C157" s="99"/>
      <c r="D157" s="99"/>
      <c r="E157" s="99"/>
      <c r="F157" s="99"/>
      <c r="G157" s="99"/>
      <c r="H157" s="98"/>
      <c r="I157" s="98"/>
      <c r="J157" s="98"/>
    </row>
    <row r="158" spans="1:10" ht="14.25">
      <c r="A158" s="98"/>
      <c r="B158" s="98"/>
      <c r="C158" s="99"/>
      <c r="D158" s="99"/>
      <c r="E158" s="99"/>
      <c r="F158" s="99"/>
      <c r="G158" s="99"/>
      <c r="H158" s="98"/>
      <c r="I158" s="98"/>
      <c r="J158" s="98"/>
    </row>
    <row r="159" spans="1:10" ht="14.25">
      <c r="A159" s="98"/>
      <c r="B159" s="98"/>
      <c r="C159" s="99"/>
      <c r="D159" s="99"/>
      <c r="E159" s="99"/>
      <c r="F159" s="99"/>
      <c r="G159" s="99"/>
      <c r="H159" s="98"/>
      <c r="I159" s="98"/>
      <c r="J159" s="98"/>
    </row>
    <row r="160" spans="1:10" ht="14.25">
      <c r="A160" s="98"/>
      <c r="B160" s="98"/>
      <c r="C160" s="99"/>
      <c r="D160" s="99"/>
      <c r="E160" s="99"/>
      <c r="F160" s="99"/>
      <c r="G160" s="99"/>
      <c r="H160" s="98"/>
      <c r="I160" s="98"/>
      <c r="J160" s="98"/>
    </row>
    <row r="161" spans="1:10" ht="14.25">
      <c r="A161" s="98"/>
      <c r="B161" s="98"/>
      <c r="C161" s="99"/>
      <c r="D161" s="99"/>
      <c r="E161" s="99"/>
      <c r="F161" s="99"/>
      <c r="G161" s="99"/>
      <c r="H161" s="98"/>
      <c r="I161" s="98"/>
      <c r="J161" s="98"/>
    </row>
    <row r="162" spans="1:10" ht="14.25">
      <c r="A162" s="98"/>
      <c r="B162" s="98"/>
      <c r="C162" s="99"/>
      <c r="D162" s="99"/>
      <c r="E162" s="99"/>
      <c r="F162" s="99"/>
      <c r="G162" s="99"/>
      <c r="H162" s="98"/>
      <c r="I162" s="98"/>
      <c r="J162" s="98"/>
    </row>
    <row r="163" spans="1:10" ht="14.25">
      <c r="A163" s="98"/>
      <c r="B163" s="98"/>
      <c r="C163" s="99"/>
      <c r="D163" s="99"/>
      <c r="E163" s="99"/>
      <c r="F163" s="99"/>
      <c r="G163" s="99"/>
      <c r="H163" s="98"/>
      <c r="I163" s="98"/>
      <c r="J163" s="98"/>
    </row>
    <row r="164" spans="1:10" ht="14.25">
      <c r="A164" s="98"/>
      <c r="B164" s="98"/>
      <c r="C164" s="99"/>
      <c r="D164" s="99"/>
      <c r="E164" s="99"/>
      <c r="F164" s="99"/>
      <c r="G164" s="99"/>
      <c r="H164" s="98"/>
      <c r="I164" s="98"/>
      <c r="J164" s="98"/>
    </row>
    <row r="165" spans="1:10" ht="14.25">
      <c r="A165" s="98"/>
      <c r="B165" s="98"/>
      <c r="C165" s="99"/>
      <c r="D165" s="99"/>
      <c r="E165" s="99"/>
      <c r="F165" s="99"/>
      <c r="G165" s="99"/>
      <c r="H165" s="98"/>
      <c r="I165" s="98"/>
      <c r="J165" s="98"/>
    </row>
    <row r="166" spans="1:10" ht="14.25">
      <c r="A166" s="98"/>
      <c r="B166" s="98"/>
      <c r="C166" s="99"/>
      <c r="D166" s="99"/>
      <c r="E166" s="99"/>
      <c r="F166" s="99"/>
      <c r="G166" s="99"/>
      <c r="H166" s="98"/>
      <c r="I166" s="98"/>
      <c r="J166" s="98"/>
    </row>
    <row r="167" spans="1:10" ht="14.25">
      <c r="A167" s="98"/>
      <c r="B167" s="98"/>
      <c r="C167" s="99"/>
      <c r="D167" s="99"/>
      <c r="E167" s="99"/>
      <c r="F167" s="99"/>
      <c r="G167" s="99"/>
      <c r="H167" s="98"/>
      <c r="I167" s="98"/>
      <c r="J167" s="98"/>
    </row>
    <row r="168" spans="1:10" ht="14.25">
      <c r="A168" s="98"/>
      <c r="B168" s="98"/>
      <c r="C168" s="99"/>
      <c r="D168" s="99"/>
      <c r="E168" s="99"/>
      <c r="F168" s="99"/>
      <c r="G168" s="99"/>
      <c r="H168" s="98"/>
      <c r="I168" s="98"/>
      <c r="J168" s="98"/>
    </row>
    <row r="169" spans="1:10" ht="14.25">
      <c r="A169" s="98"/>
      <c r="B169" s="98"/>
      <c r="C169" s="99"/>
      <c r="D169" s="99"/>
      <c r="E169" s="99"/>
      <c r="F169" s="99"/>
      <c r="G169" s="99"/>
      <c r="H169" s="98"/>
      <c r="I169" s="98"/>
      <c r="J169" s="98"/>
    </row>
    <row r="170" spans="1:10" ht="14.25">
      <c r="A170" s="98"/>
      <c r="B170" s="98"/>
      <c r="C170" s="99"/>
      <c r="D170" s="99"/>
      <c r="E170" s="99"/>
      <c r="F170" s="99"/>
      <c r="G170" s="99"/>
      <c r="H170" s="98"/>
      <c r="I170" s="98"/>
      <c r="J170" s="98"/>
    </row>
    <row r="171" spans="1:10" ht="14.25">
      <c r="A171" s="98"/>
      <c r="B171" s="98"/>
      <c r="C171" s="99"/>
      <c r="D171" s="99"/>
      <c r="E171" s="99"/>
      <c r="F171" s="99"/>
      <c r="G171" s="99"/>
      <c r="H171" s="98"/>
      <c r="I171" s="98"/>
      <c r="J171" s="98"/>
    </row>
    <row r="172" spans="1:10" ht="14.25">
      <c r="A172" s="98"/>
      <c r="B172" s="98"/>
      <c r="C172" s="99"/>
      <c r="D172" s="99"/>
      <c r="E172" s="99"/>
      <c r="F172" s="99"/>
      <c r="G172" s="99"/>
      <c r="H172" s="98"/>
      <c r="I172" s="98"/>
      <c r="J172" s="98"/>
    </row>
    <row r="173" spans="1:10" ht="14.25">
      <c r="A173" s="98"/>
      <c r="B173" s="98"/>
      <c r="C173" s="99"/>
      <c r="D173" s="99"/>
      <c r="E173" s="99"/>
      <c r="F173" s="99"/>
      <c r="G173" s="99"/>
      <c r="H173" s="98"/>
      <c r="I173" s="98"/>
      <c r="J173" s="98"/>
    </row>
    <row r="174" spans="1:10" ht="14.25">
      <c r="A174" s="98"/>
      <c r="B174" s="98"/>
      <c r="C174" s="99"/>
      <c r="D174" s="99"/>
      <c r="E174" s="99"/>
      <c r="F174" s="99"/>
      <c r="G174" s="99"/>
      <c r="H174" s="98"/>
      <c r="I174" s="98"/>
      <c r="J174" s="98"/>
    </row>
    <row r="175" spans="1:10" ht="14.25">
      <c r="A175" s="98"/>
      <c r="B175" s="98"/>
      <c r="C175" s="99"/>
      <c r="D175" s="99"/>
      <c r="E175" s="99"/>
      <c r="F175" s="99"/>
      <c r="G175" s="99"/>
      <c r="H175" s="98"/>
      <c r="I175" s="98"/>
      <c r="J175" s="98"/>
    </row>
    <row r="176" spans="1:10" ht="14.25">
      <c r="A176" s="98"/>
      <c r="B176" s="98"/>
      <c r="C176" s="99"/>
      <c r="D176" s="99"/>
      <c r="E176" s="99"/>
      <c r="F176" s="99"/>
      <c r="G176" s="99"/>
      <c r="H176" s="98"/>
      <c r="I176" s="98"/>
      <c r="J176" s="98"/>
    </row>
    <row r="177" spans="1:10" ht="14.25">
      <c r="A177" s="98"/>
      <c r="B177" s="98"/>
      <c r="C177" s="99"/>
      <c r="D177" s="99"/>
      <c r="E177" s="99"/>
      <c r="F177" s="99"/>
      <c r="G177" s="99"/>
      <c r="H177" s="98"/>
      <c r="I177" s="98"/>
      <c r="J177" s="98"/>
    </row>
    <row r="178" spans="1:10" ht="14.25">
      <c r="A178" s="98"/>
      <c r="B178" s="98"/>
      <c r="C178" s="99"/>
      <c r="D178" s="99"/>
      <c r="E178" s="99"/>
      <c r="F178" s="99"/>
      <c r="G178" s="99"/>
      <c r="H178" s="98"/>
      <c r="I178" s="98"/>
      <c r="J178" s="98"/>
    </row>
    <row r="179" spans="1:10" ht="14.25">
      <c r="A179" s="98"/>
      <c r="B179" s="98"/>
      <c r="C179" s="99"/>
      <c r="D179" s="99"/>
      <c r="E179" s="99"/>
      <c r="F179" s="99"/>
      <c r="G179" s="99"/>
      <c r="H179" s="98"/>
      <c r="I179" s="98"/>
      <c r="J179" s="98"/>
    </row>
    <row r="180" spans="1:10" ht="14.25">
      <c r="A180" s="98"/>
      <c r="B180" s="98"/>
      <c r="C180" s="99"/>
      <c r="D180" s="99"/>
      <c r="E180" s="99"/>
      <c r="F180" s="99"/>
      <c r="G180" s="99"/>
      <c r="H180" s="98"/>
      <c r="I180" s="98"/>
      <c r="J180" s="98"/>
    </row>
    <row r="181" spans="1:10" ht="14.25">
      <c r="A181" s="98"/>
      <c r="B181" s="98"/>
      <c r="C181" s="99"/>
      <c r="D181" s="99"/>
      <c r="E181" s="99"/>
      <c r="F181" s="99"/>
      <c r="G181" s="99"/>
      <c r="H181" s="98"/>
      <c r="I181" s="98"/>
      <c r="J181" s="98"/>
    </row>
    <row r="182" spans="1:10" ht="14.25">
      <c r="A182" s="98"/>
      <c r="B182" s="98"/>
      <c r="C182" s="99"/>
      <c r="D182" s="99"/>
      <c r="E182" s="99"/>
      <c r="F182" s="99"/>
      <c r="G182" s="99"/>
      <c r="H182" s="98"/>
      <c r="I182" s="98"/>
      <c r="J182" s="98"/>
    </row>
    <row r="183" spans="1:10" ht="14.25">
      <c r="A183" s="98"/>
      <c r="B183" s="98"/>
      <c r="C183" s="99"/>
      <c r="D183" s="99"/>
      <c r="E183" s="99"/>
      <c r="F183" s="99"/>
      <c r="G183" s="99"/>
      <c r="H183" s="98"/>
      <c r="I183" s="98"/>
      <c r="J183" s="98"/>
    </row>
    <row r="184" spans="1:10" ht="14.25">
      <c r="A184" s="98"/>
      <c r="B184" s="98"/>
      <c r="C184" s="99"/>
      <c r="D184" s="99"/>
      <c r="E184" s="99"/>
      <c r="F184" s="99"/>
      <c r="G184" s="99"/>
      <c r="H184" s="98"/>
      <c r="I184" s="98"/>
      <c r="J184" s="98"/>
    </row>
    <row r="185" spans="1:10" ht="14.25">
      <c r="A185" s="98"/>
      <c r="B185" s="98"/>
      <c r="C185" s="99"/>
      <c r="D185" s="99"/>
      <c r="E185" s="99"/>
      <c r="F185" s="99"/>
      <c r="G185" s="99"/>
      <c r="H185" s="98"/>
      <c r="I185" s="98"/>
      <c r="J185" s="98"/>
    </row>
    <row r="186" spans="1:10" ht="14.25">
      <c r="A186" s="98"/>
      <c r="B186" s="98"/>
      <c r="C186" s="99"/>
      <c r="D186" s="99"/>
      <c r="E186" s="99"/>
      <c r="F186" s="99"/>
      <c r="G186" s="99"/>
      <c r="H186" s="98"/>
      <c r="I186" s="98"/>
      <c r="J186" s="98"/>
    </row>
    <row r="187" spans="1:10" ht="14.25">
      <c r="A187" s="98"/>
      <c r="B187" s="98"/>
      <c r="C187" s="99"/>
      <c r="D187" s="99"/>
      <c r="E187" s="99"/>
      <c r="F187" s="99"/>
      <c r="G187" s="99"/>
      <c r="H187" s="98"/>
      <c r="I187" s="98"/>
      <c r="J187" s="98"/>
    </row>
    <row r="188" spans="1:10" ht="14.25">
      <c r="A188" s="98"/>
      <c r="B188" s="98"/>
      <c r="C188" s="99"/>
      <c r="D188" s="99"/>
      <c r="E188" s="99"/>
      <c r="F188" s="99"/>
      <c r="G188" s="99"/>
      <c r="H188" s="98"/>
      <c r="I188" s="98"/>
      <c r="J188" s="98"/>
    </row>
    <row r="189" spans="1:10" ht="14.25">
      <c r="A189" s="98"/>
      <c r="B189" s="98"/>
      <c r="C189" s="99"/>
      <c r="D189" s="99"/>
      <c r="E189" s="99"/>
      <c r="F189" s="99"/>
      <c r="G189" s="99"/>
      <c r="H189" s="98"/>
      <c r="I189" s="98"/>
      <c r="J189" s="98"/>
    </row>
    <row r="190" spans="1:10" ht="14.25">
      <c r="A190" s="98"/>
      <c r="B190" s="98"/>
      <c r="C190" s="99"/>
      <c r="D190" s="99"/>
      <c r="E190" s="99"/>
      <c r="F190" s="99"/>
      <c r="G190" s="99"/>
      <c r="H190" s="98"/>
      <c r="I190" s="98"/>
      <c r="J190" s="98"/>
    </row>
    <row r="191" spans="1:10" ht="14.25">
      <c r="A191" s="98"/>
      <c r="B191" s="98"/>
      <c r="C191" s="99"/>
      <c r="D191" s="99"/>
      <c r="E191" s="99"/>
      <c r="F191" s="99"/>
      <c r="G191" s="99"/>
      <c r="H191" s="98"/>
      <c r="I191" s="98"/>
      <c r="J191" s="98"/>
    </row>
    <row r="192" spans="1:10" ht="14.25">
      <c r="A192" s="98"/>
      <c r="B192" s="98"/>
      <c r="C192" s="99"/>
      <c r="D192" s="99"/>
      <c r="E192" s="99"/>
      <c r="F192" s="99"/>
      <c r="G192" s="99"/>
      <c r="H192" s="98"/>
      <c r="I192" s="98"/>
      <c r="J192" s="98"/>
    </row>
    <row r="193" spans="1:10" ht="14.25">
      <c r="A193" s="98"/>
      <c r="B193" s="98"/>
      <c r="C193" s="99"/>
      <c r="D193" s="99"/>
      <c r="E193" s="99"/>
      <c r="F193" s="99"/>
      <c r="G193" s="99"/>
      <c r="H193" s="98"/>
      <c r="I193" s="98"/>
      <c r="J193" s="98"/>
    </row>
    <row r="194" spans="1:10" ht="14.25">
      <c r="A194" s="98"/>
      <c r="B194" s="98"/>
      <c r="C194" s="99"/>
      <c r="D194" s="99"/>
      <c r="E194" s="99"/>
      <c r="F194" s="99"/>
      <c r="G194" s="99"/>
      <c r="H194" s="98"/>
      <c r="I194" s="98"/>
      <c r="J194" s="98"/>
    </row>
    <row r="195" spans="1:10" ht="14.25">
      <c r="A195" s="98"/>
      <c r="B195" s="98"/>
      <c r="C195" s="99"/>
      <c r="D195" s="99"/>
      <c r="E195" s="99"/>
      <c r="F195" s="99"/>
      <c r="G195" s="99"/>
      <c r="H195" s="98"/>
      <c r="I195" s="98"/>
      <c r="J195" s="98"/>
    </row>
    <row r="196" spans="1:10" ht="14.25">
      <c r="A196" s="98"/>
      <c r="B196" s="98"/>
      <c r="C196" s="99"/>
      <c r="D196" s="99"/>
      <c r="E196" s="99"/>
      <c r="F196" s="99"/>
      <c r="G196" s="99"/>
      <c r="H196" s="98"/>
      <c r="I196" s="98"/>
      <c r="J196" s="98"/>
    </row>
    <row r="197" spans="1:10" ht="14.25">
      <c r="A197" s="98"/>
      <c r="B197" s="98"/>
      <c r="C197" s="99"/>
      <c r="D197" s="99"/>
      <c r="E197" s="99"/>
      <c r="F197" s="99"/>
      <c r="G197" s="99"/>
      <c r="H197" s="98"/>
      <c r="I197" s="98"/>
      <c r="J197" s="98"/>
    </row>
    <row r="198" spans="1:10" ht="14.25">
      <c r="A198" s="98"/>
      <c r="B198" s="98"/>
      <c r="C198" s="99"/>
      <c r="D198" s="99"/>
      <c r="E198" s="99"/>
      <c r="F198" s="99"/>
      <c r="G198" s="99"/>
      <c r="H198" s="98"/>
      <c r="I198" s="98"/>
      <c r="J198" s="98"/>
    </row>
    <row r="199" spans="1:10" ht="14.25">
      <c r="A199" s="98"/>
      <c r="B199" s="98"/>
      <c r="C199" s="99"/>
      <c r="D199" s="99"/>
      <c r="E199" s="99"/>
      <c r="F199" s="99"/>
      <c r="G199" s="99"/>
      <c r="H199" s="98"/>
      <c r="I199" s="98"/>
      <c r="J199" s="98"/>
    </row>
    <row r="200" spans="1:10" ht="14.25">
      <c r="A200" s="98"/>
      <c r="B200" s="98"/>
      <c r="C200" s="99"/>
      <c r="D200" s="99"/>
      <c r="E200" s="99"/>
      <c r="F200" s="99"/>
      <c r="G200" s="99"/>
      <c r="H200" s="98"/>
      <c r="I200" s="98"/>
      <c r="J200" s="98"/>
    </row>
    <row r="201" spans="1:10" ht="14.25">
      <c r="A201" s="98"/>
      <c r="B201" s="98"/>
      <c r="C201" s="99"/>
      <c r="D201" s="99"/>
      <c r="E201" s="99"/>
      <c r="F201" s="99"/>
      <c r="G201" s="99"/>
      <c r="H201" s="98"/>
      <c r="I201" s="98"/>
      <c r="J201" s="98"/>
    </row>
    <row r="202" spans="1:10" ht="14.25">
      <c r="A202" s="98"/>
      <c r="B202" s="98"/>
      <c r="C202" s="99"/>
      <c r="D202" s="99"/>
      <c r="E202" s="99"/>
      <c r="F202" s="99"/>
      <c r="G202" s="99"/>
      <c r="H202" s="98"/>
      <c r="I202" s="98"/>
      <c r="J202" s="98"/>
    </row>
    <row r="203" spans="1:10" ht="14.25">
      <c r="A203" s="98"/>
      <c r="B203" s="98"/>
      <c r="C203" s="99"/>
      <c r="D203" s="99"/>
      <c r="E203" s="99"/>
      <c r="F203" s="99"/>
      <c r="G203" s="99"/>
      <c r="H203" s="98"/>
      <c r="I203" s="98"/>
      <c r="J203" s="98"/>
    </row>
    <row r="204" spans="1:10" ht="14.25">
      <c r="A204" s="98"/>
      <c r="B204" s="98"/>
      <c r="C204" s="99"/>
      <c r="D204" s="99"/>
      <c r="E204" s="99"/>
      <c r="F204" s="99"/>
      <c r="G204" s="99"/>
      <c r="H204" s="98"/>
      <c r="I204" s="98"/>
      <c r="J204" s="98"/>
    </row>
    <row r="205" spans="1:10" ht="14.25">
      <c r="A205" s="98"/>
      <c r="B205" s="98"/>
      <c r="C205" s="99"/>
      <c r="D205" s="99"/>
      <c r="E205" s="99"/>
      <c r="F205" s="99"/>
      <c r="G205" s="99"/>
      <c r="H205" s="98"/>
      <c r="I205" s="98"/>
      <c r="J205" s="98"/>
    </row>
    <row r="206" spans="1:10" ht="14.25">
      <c r="A206" s="98"/>
      <c r="B206" s="98"/>
      <c r="C206" s="99"/>
      <c r="D206" s="99"/>
      <c r="E206" s="99"/>
      <c r="F206" s="99"/>
      <c r="G206" s="99"/>
      <c r="H206" s="98"/>
      <c r="I206" s="98"/>
      <c r="J206" s="98"/>
    </row>
    <row r="207" spans="1:10" ht="14.25">
      <c r="A207" s="98"/>
      <c r="B207" s="98"/>
      <c r="C207" s="99"/>
      <c r="D207" s="99"/>
      <c r="E207" s="99"/>
      <c r="F207" s="99"/>
      <c r="G207" s="99"/>
      <c r="H207" s="98"/>
      <c r="I207" s="98"/>
      <c r="J207" s="98"/>
    </row>
    <row r="208" spans="1:10" ht="14.25">
      <c r="A208" s="98"/>
      <c r="B208" s="98"/>
      <c r="C208" s="99"/>
      <c r="D208" s="99"/>
      <c r="E208" s="99"/>
      <c r="F208" s="99"/>
      <c r="G208" s="99"/>
      <c r="H208" s="98"/>
      <c r="I208" s="98"/>
      <c r="J208" s="98"/>
    </row>
    <row r="209" spans="1:10" ht="14.25">
      <c r="A209" s="98"/>
      <c r="B209" s="98"/>
      <c r="C209" s="99"/>
      <c r="D209" s="99"/>
      <c r="E209" s="99"/>
      <c r="F209" s="99"/>
      <c r="G209" s="99"/>
      <c r="H209" s="98"/>
      <c r="I209" s="98"/>
      <c r="J209" s="98"/>
    </row>
    <row r="210" spans="1:10" ht="14.25">
      <c r="A210" s="98"/>
      <c r="B210" s="98"/>
      <c r="C210" s="99"/>
      <c r="D210" s="99"/>
      <c r="E210" s="99"/>
      <c r="F210" s="99"/>
      <c r="G210" s="99"/>
      <c r="H210" s="98"/>
      <c r="I210" s="98"/>
      <c r="J210" s="98"/>
    </row>
    <row r="211" spans="1:10" ht="14.25">
      <c r="A211" s="98"/>
      <c r="B211" s="98"/>
      <c r="C211" s="99"/>
      <c r="D211" s="99"/>
      <c r="E211" s="99"/>
      <c r="F211" s="99"/>
      <c r="G211" s="99"/>
      <c r="H211" s="98"/>
      <c r="I211" s="98"/>
      <c r="J211" s="98"/>
    </row>
    <row r="212" spans="1:10" ht="14.25">
      <c r="A212" s="98"/>
      <c r="B212" s="98"/>
      <c r="C212" s="99"/>
      <c r="D212" s="99"/>
      <c r="E212" s="99"/>
      <c r="F212" s="99"/>
      <c r="G212" s="99"/>
      <c r="H212" s="98"/>
      <c r="I212" s="98"/>
      <c r="J212" s="98"/>
    </row>
    <row r="213" spans="1:10" ht="14.25">
      <c r="A213" s="98"/>
      <c r="B213" s="98"/>
      <c r="C213" s="99"/>
      <c r="D213" s="99"/>
      <c r="E213" s="99"/>
      <c r="F213" s="99"/>
      <c r="G213" s="99"/>
      <c r="H213" s="98"/>
      <c r="I213" s="98"/>
      <c r="J213" s="98"/>
    </row>
    <row r="214" spans="1:10" ht="14.25">
      <c r="A214" s="98"/>
      <c r="B214" s="98"/>
      <c r="C214" s="99"/>
      <c r="D214" s="99"/>
      <c r="E214" s="99"/>
      <c r="F214" s="99"/>
      <c r="G214" s="99"/>
      <c r="H214" s="98"/>
      <c r="I214" s="98"/>
      <c r="J214" s="98"/>
    </row>
    <row r="215" spans="1:10" ht="14.25">
      <c r="A215" s="98"/>
      <c r="B215" s="98"/>
      <c r="C215" s="99"/>
      <c r="D215" s="99"/>
      <c r="E215" s="99"/>
      <c r="F215" s="99"/>
      <c r="G215" s="99"/>
      <c r="H215" s="98"/>
      <c r="I215" s="98"/>
      <c r="J215" s="98"/>
    </row>
    <row r="216" spans="1:10" ht="14.25">
      <c r="A216" s="98"/>
      <c r="B216" s="98"/>
      <c r="C216" s="99"/>
      <c r="D216" s="99"/>
      <c r="E216" s="99"/>
      <c r="F216" s="99"/>
      <c r="G216" s="99"/>
      <c r="H216" s="98"/>
      <c r="I216" s="98"/>
      <c r="J216" s="98"/>
    </row>
    <row r="217" spans="1:10" ht="14.25">
      <c r="A217" s="98"/>
      <c r="B217" s="98"/>
      <c r="C217" s="99"/>
      <c r="D217" s="99"/>
      <c r="E217" s="99"/>
      <c r="F217" s="99"/>
      <c r="G217" s="99"/>
      <c r="H217" s="98"/>
      <c r="I217" s="98"/>
      <c r="J217" s="98"/>
    </row>
    <row r="218" spans="1:10" ht="14.25">
      <c r="A218" s="98"/>
      <c r="B218" s="98"/>
      <c r="C218" s="99"/>
      <c r="D218" s="99"/>
      <c r="E218" s="99"/>
      <c r="F218" s="99"/>
      <c r="G218" s="99"/>
      <c r="H218" s="98"/>
      <c r="I218" s="98"/>
      <c r="J218" s="98"/>
    </row>
    <row r="219" spans="1:10" ht="14.25">
      <c r="A219" s="98"/>
      <c r="B219" s="98"/>
      <c r="C219" s="99"/>
      <c r="D219" s="99"/>
      <c r="E219" s="99"/>
      <c r="F219" s="99"/>
      <c r="G219" s="99"/>
      <c r="H219" s="98"/>
      <c r="I219" s="98"/>
      <c r="J219" s="98"/>
    </row>
    <row r="220" spans="1:10" ht="14.25">
      <c r="A220" s="98"/>
      <c r="B220" s="98"/>
      <c r="C220" s="99"/>
      <c r="D220" s="99"/>
      <c r="E220" s="99"/>
      <c r="F220" s="99"/>
      <c r="G220" s="99"/>
      <c r="H220" s="98"/>
      <c r="I220" s="98"/>
      <c r="J220" s="98"/>
    </row>
    <row r="221" spans="1:10" ht="14.25">
      <c r="A221" s="98"/>
      <c r="B221" s="98"/>
      <c r="C221" s="99"/>
      <c r="D221" s="99"/>
      <c r="E221" s="99"/>
      <c r="F221" s="99"/>
      <c r="G221" s="99"/>
      <c r="H221" s="98"/>
      <c r="I221" s="98"/>
      <c r="J221" s="98"/>
    </row>
    <row r="222" spans="1:10" ht="14.25">
      <c r="A222" s="98"/>
      <c r="B222" s="98"/>
      <c r="C222" s="99"/>
      <c r="D222" s="99"/>
      <c r="E222" s="99"/>
      <c r="F222" s="99"/>
      <c r="G222" s="99"/>
      <c r="H222" s="98"/>
      <c r="I222" s="98"/>
      <c r="J222" s="98"/>
    </row>
    <row r="223" spans="1:10" ht="14.25">
      <c r="A223" s="98"/>
      <c r="B223" s="98"/>
      <c r="C223" s="99"/>
      <c r="D223" s="99"/>
      <c r="E223" s="99"/>
      <c r="F223" s="99"/>
      <c r="G223" s="99"/>
      <c r="H223" s="98"/>
      <c r="I223" s="98"/>
      <c r="J223" s="98"/>
    </row>
    <row r="224" spans="1:10" ht="14.25">
      <c r="A224" s="98"/>
      <c r="B224" s="98"/>
      <c r="C224" s="99"/>
      <c r="D224" s="99"/>
      <c r="E224" s="99"/>
      <c r="F224" s="99"/>
      <c r="G224" s="99"/>
      <c r="H224" s="98"/>
      <c r="I224" s="98"/>
      <c r="J224" s="98"/>
    </row>
    <row r="225" spans="1:10" ht="14.25">
      <c r="A225" s="98"/>
      <c r="B225" s="98"/>
      <c r="C225" s="99"/>
      <c r="D225" s="99"/>
      <c r="E225" s="99"/>
      <c r="F225" s="99"/>
      <c r="G225" s="99"/>
      <c r="H225" s="98"/>
      <c r="I225" s="98"/>
      <c r="J225" s="98"/>
    </row>
    <row r="226" spans="1:10" ht="14.25">
      <c r="A226" s="98"/>
      <c r="B226" s="98"/>
      <c r="C226" s="99"/>
      <c r="D226" s="99"/>
      <c r="E226" s="99"/>
      <c r="F226" s="99"/>
      <c r="G226" s="99"/>
      <c r="H226" s="98"/>
      <c r="I226" s="98"/>
      <c r="J226" s="98"/>
    </row>
    <row r="227" spans="1:10" ht="14.25">
      <c r="A227" s="98"/>
      <c r="B227" s="98"/>
      <c r="C227" s="99"/>
      <c r="D227" s="99"/>
      <c r="E227" s="99"/>
      <c r="F227" s="99"/>
      <c r="G227" s="99"/>
      <c r="H227" s="98"/>
      <c r="I227" s="98"/>
      <c r="J227" s="98"/>
    </row>
    <row r="228" spans="1:10" ht="14.25">
      <c r="A228" s="98"/>
      <c r="B228" s="98"/>
      <c r="C228" s="99"/>
      <c r="D228" s="99"/>
      <c r="E228" s="99"/>
      <c r="F228" s="99"/>
      <c r="G228" s="99"/>
      <c r="H228" s="98"/>
      <c r="I228" s="98"/>
      <c r="J228" s="98"/>
    </row>
    <row r="229" spans="1:10" ht="14.25">
      <c r="A229" s="98"/>
      <c r="B229" s="98"/>
      <c r="C229" s="99"/>
      <c r="D229" s="99"/>
      <c r="E229" s="99"/>
      <c r="F229" s="99"/>
      <c r="G229" s="99"/>
      <c r="H229" s="98"/>
      <c r="I229" s="98"/>
      <c r="J229" s="98"/>
    </row>
    <row r="230" spans="1:10" ht="14.25">
      <c r="A230" s="98"/>
      <c r="B230" s="98"/>
      <c r="C230" s="99"/>
      <c r="D230" s="99"/>
      <c r="E230" s="99"/>
      <c r="F230" s="99"/>
      <c r="G230" s="99"/>
      <c r="H230" s="98"/>
      <c r="I230" s="98"/>
      <c r="J230" s="98"/>
    </row>
    <row r="231" spans="1:10" ht="14.25">
      <c r="A231" s="98"/>
      <c r="B231" s="98"/>
      <c r="C231" s="99"/>
      <c r="D231" s="99"/>
      <c r="E231" s="99"/>
      <c r="F231" s="99"/>
      <c r="G231" s="99"/>
      <c r="H231" s="98"/>
      <c r="I231" s="98"/>
      <c r="J231" s="98"/>
    </row>
    <row r="232" spans="1:10" ht="14.25">
      <c r="A232" s="98"/>
      <c r="B232" s="98"/>
      <c r="C232" s="99"/>
      <c r="D232" s="99"/>
      <c r="E232" s="99"/>
      <c r="F232" s="99"/>
      <c r="G232" s="99"/>
      <c r="H232" s="98"/>
      <c r="I232" s="98"/>
      <c r="J232" s="98"/>
    </row>
    <row r="233" spans="1:10" ht="14.25">
      <c r="A233" s="98"/>
      <c r="B233" s="98"/>
      <c r="C233" s="99"/>
      <c r="D233" s="99"/>
      <c r="E233" s="99"/>
      <c r="F233" s="99"/>
      <c r="G233" s="99"/>
      <c r="H233" s="98"/>
      <c r="I233" s="98"/>
      <c r="J233" s="98"/>
    </row>
    <row r="234" spans="1:10" ht="14.25">
      <c r="A234" s="98"/>
      <c r="B234" s="98"/>
      <c r="C234" s="99"/>
      <c r="D234" s="99"/>
      <c r="E234" s="99"/>
      <c r="F234" s="99"/>
      <c r="G234" s="99"/>
      <c r="H234" s="98"/>
      <c r="I234" s="98"/>
      <c r="J234" s="98"/>
    </row>
    <row r="235" spans="1:10" ht="14.25">
      <c r="A235" s="98"/>
      <c r="B235" s="98"/>
      <c r="C235" s="99"/>
      <c r="D235" s="99"/>
      <c r="E235" s="99"/>
      <c r="F235" s="99"/>
      <c r="G235" s="99"/>
      <c r="H235" s="98"/>
      <c r="I235" s="98"/>
      <c r="J235" s="98"/>
    </row>
    <row r="236" spans="1:10" ht="14.25">
      <c r="A236" s="98"/>
      <c r="B236" s="98"/>
      <c r="C236" s="99"/>
      <c r="D236" s="99"/>
      <c r="E236" s="99"/>
      <c r="F236" s="99"/>
      <c r="G236" s="99"/>
      <c r="H236" s="98"/>
      <c r="I236" s="98"/>
      <c r="J236" s="98"/>
    </row>
    <row r="237" spans="1:10" ht="14.25">
      <c r="A237" s="98"/>
      <c r="B237" s="98"/>
      <c r="C237" s="99"/>
      <c r="D237" s="99"/>
      <c r="E237" s="99"/>
      <c r="F237" s="99"/>
      <c r="G237" s="99"/>
      <c r="H237" s="98"/>
      <c r="I237" s="98"/>
      <c r="J237" s="98"/>
    </row>
    <row r="238" spans="1:10" ht="14.25">
      <c r="A238" s="98"/>
      <c r="B238" s="98"/>
      <c r="C238" s="99"/>
      <c r="D238" s="99"/>
      <c r="E238" s="99"/>
      <c r="F238" s="99"/>
      <c r="G238" s="99"/>
      <c r="H238" s="98"/>
      <c r="I238" s="98"/>
      <c r="J238" s="98"/>
    </row>
    <row r="239" spans="1:10" ht="14.25">
      <c r="A239" s="98"/>
      <c r="B239" s="98"/>
      <c r="C239" s="99"/>
      <c r="D239" s="99"/>
      <c r="E239" s="99"/>
      <c r="F239" s="99"/>
      <c r="G239" s="99"/>
      <c r="H239" s="98"/>
      <c r="I239" s="98"/>
      <c r="J239" s="98"/>
    </row>
    <row r="240" spans="1:10" ht="14.25">
      <c r="A240" s="98"/>
      <c r="B240" s="98"/>
      <c r="C240" s="99"/>
      <c r="D240" s="99"/>
      <c r="E240" s="99"/>
      <c r="F240" s="99"/>
      <c r="G240" s="99"/>
      <c r="H240" s="98"/>
      <c r="I240" s="98"/>
      <c r="J240" s="98"/>
    </row>
    <row r="241" spans="1:10" ht="14.25">
      <c r="A241" s="98"/>
      <c r="B241" s="98"/>
      <c r="C241" s="99"/>
      <c r="D241" s="99"/>
      <c r="E241" s="99"/>
      <c r="F241" s="99"/>
      <c r="G241" s="99"/>
      <c r="H241" s="98"/>
      <c r="I241" s="98"/>
      <c r="J241" s="98"/>
    </row>
    <row r="242" spans="1:10" ht="14.25">
      <c r="A242" s="98"/>
      <c r="B242" s="98"/>
      <c r="C242" s="99"/>
      <c r="D242" s="99"/>
      <c r="E242" s="99"/>
      <c r="F242" s="99"/>
      <c r="G242" s="99"/>
      <c r="H242" s="98"/>
      <c r="I242" s="98"/>
      <c r="J242" s="98"/>
    </row>
    <row r="243" spans="1:10" ht="14.25">
      <c r="A243" s="98"/>
      <c r="B243" s="98"/>
      <c r="C243" s="99"/>
      <c r="D243" s="99"/>
      <c r="E243" s="99"/>
      <c r="F243" s="99"/>
      <c r="G243" s="99"/>
      <c r="H243" s="98"/>
      <c r="I243" s="98"/>
      <c r="J243" s="98"/>
    </row>
    <row r="244" spans="1:10" ht="14.25">
      <c r="A244" s="98"/>
      <c r="B244" s="98"/>
      <c r="C244" s="99"/>
      <c r="D244" s="99"/>
      <c r="E244" s="99"/>
      <c r="F244" s="99"/>
      <c r="G244" s="99"/>
      <c r="H244" s="98"/>
      <c r="I244" s="98"/>
      <c r="J244" s="98"/>
    </row>
    <row r="245" spans="1:10" ht="14.25">
      <c r="A245" s="98"/>
      <c r="B245" s="98"/>
      <c r="C245" s="99"/>
      <c r="D245" s="99"/>
      <c r="E245" s="99"/>
      <c r="F245" s="99"/>
      <c r="G245" s="99"/>
      <c r="H245" s="98"/>
      <c r="I245" s="98"/>
      <c r="J245" s="98"/>
    </row>
    <row r="246" spans="1:10" ht="14.25">
      <c r="A246" s="98"/>
      <c r="B246" s="98"/>
      <c r="C246" s="99"/>
      <c r="D246" s="99"/>
      <c r="E246" s="99"/>
      <c r="F246" s="99"/>
      <c r="G246" s="99"/>
      <c r="H246" s="98"/>
      <c r="I246" s="98"/>
      <c r="J246" s="98"/>
    </row>
    <row r="247" spans="1:10" ht="14.25">
      <c r="A247" s="98"/>
      <c r="B247" s="98"/>
      <c r="C247" s="99"/>
      <c r="D247" s="99"/>
      <c r="E247" s="99"/>
      <c r="F247" s="99"/>
      <c r="G247" s="99"/>
      <c r="H247" s="98"/>
      <c r="I247" s="98"/>
      <c r="J247" s="98"/>
    </row>
    <row r="248" spans="1:10" ht="14.25">
      <c r="A248" s="98"/>
      <c r="B248" s="98"/>
      <c r="C248" s="99"/>
      <c r="D248" s="99"/>
      <c r="E248" s="99"/>
      <c r="F248" s="99"/>
      <c r="G248" s="99"/>
      <c r="H248" s="98"/>
      <c r="I248" s="98"/>
      <c r="J248" s="98"/>
    </row>
    <row r="249" spans="1:10" ht="14.25">
      <c r="A249" s="98"/>
      <c r="B249" s="98"/>
      <c r="C249" s="99"/>
      <c r="D249" s="99"/>
      <c r="E249" s="99"/>
      <c r="F249" s="99"/>
      <c r="G249" s="99"/>
      <c r="H249" s="98"/>
      <c r="I249" s="98"/>
      <c r="J249" s="98"/>
    </row>
    <row r="250" spans="1:10" ht="14.25">
      <c r="A250" s="98"/>
      <c r="B250" s="98"/>
      <c r="C250" s="99"/>
      <c r="D250" s="99"/>
      <c r="E250" s="99"/>
      <c r="F250" s="99"/>
      <c r="G250" s="99"/>
      <c r="H250" s="98"/>
      <c r="I250" s="98"/>
      <c r="J250" s="98"/>
    </row>
    <row r="251" spans="1:10" ht="14.25">
      <c r="A251" s="98"/>
      <c r="B251" s="98"/>
      <c r="C251" s="99"/>
      <c r="D251" s="99"/>
      <c r="E251" s="99"/>
      <c r="F251" s="99"/>
      <c r="G251" s="99"/>
      <c r="H251" s="98"/>
      <c r="I251" s="98"/>
      <c r="J251" s="98"/>
    </row>
    <row r="252" spans="1:10" ht="14.25">
      <c r="A252" s="98"/>
      <c r="B252" s="98"/>
      <c r="C252" s="99"/>
      <c r="D252" s="99"/>
      <c r="E252" s="99"/>
      <c r="F252" s="99"/>
      <c r="G252" s="99"/>
      <c r="H252" s="98"/>
      <c r="I252" s="98"/>
      <c r="J252" s="98"/>
    </row>
    <row r="253" spans="1:10" ht="14.25">
      <c r="A253" s="98"/>
      <c r="B253" s="98"/>
      <c r="C253" s="99"/>
      <c r="D253" s="99"/>
      <c r="E253" s="99"/>
      <c r="F253" s="99"/>
      <c r="G253" s="99"/>
      <c r="H253" s="98"/>
      <c r="I253" s="98"/>
      <c r="J253" s="98"/>
    </row>
    <row r="254" spans="1:10" ht="14.25">
      <c r="A254" s="98"/>
      <c r="B254" s="98"/>
      <c r="C254" s="99"/>
      <c r="D254" s="99"/>
      <c r="E254" s="99"/>
      <c r="F254" s="99"/>
      <c r="G254" s="99"/>
      <c r="H254" s="98"/>
      <c r="I254" s="98"/>
      <c r="J254" s="98"/>
    </row>
    <row r="255" spans="1:10" ht="14.25">
      <c r="A255" s="98"/>
      <c r="B255" s="98"/>
      <c r="C255" s="99"/>
      <c r="D255" s="99"/>
      <c r="E255" s="99"/>
      <c r="F255" s="99"/>
      <c r="G255" s="99"/>
      <c r="H255" s="98"/>
      <c r="I255" s="98"/>
      <c r="J255" s="98"/>
    </row>
    <row r="256" spans="1:10" ht="14.25">
      <c r="A256" s="98"/>
      <c r="B256" s="98"/>
      <c r="C256" s="99"/>
      <c r="D256" s="99"/>
      <c r="E256" s="99"/>
      <c r="F256" s="99"/>
      <c r="G256" s="99"/>
      <c r="H256" s="98"/>
      <c r="I256" s="98"/>
      <c r="J256" s="98"/>
    </row>
    <row r="257" spans="1:10" ht="14.25">
      <c r="A257" s="98"/>
      <c r="B257" s="98"/>
      <c r="C257" s="99"/>
      <c r="D257" s="99"/>
      <c r="E257" s="99"/>
      <c r="F257" s="99"/>
      <c r="G257" s="99"/>
      <c r="H257" s="98"/>
      <c r="I257" s="98"/>
      <c r="J257" s="98"/>
    </row>
    <row r="258" spans="1:10" ht="14.25">
      <c r="A258" s="98"/>
      <c r="B258" s="98"/>
      <c r="C258" s="99"/>
      <c r="D258" s="99"/>
      <c r="E258" s="99"/>
      <c r="F258" s="99"/>
      <c r="G258" s="99"/>
      <c r="H258" s="98"/>
      <c r="I258" s="98"/>
      <c r="J258" s="98"/>
    </row>
    <row r="259" spans="1:10" ht="14.25">
      <c r="A259" s="98"/>
      <c r="B259" s="98"/>
      <c r="C259" s="99"/>
      <c r="D259" s="99"/>
      <c r="E259" s="99"/>
      <c r="F259" s="99"/>
      <c r="G259" s="99"/>
      <c r="H259" s="98"/>
      <c r="I259" s="98"/>
      <c r="J259" s="98"/>
    </row>
    <row r="260" spans="1:10" ht="14.25">
      <c r="A260" s="98"/>
      <c r="B260" s="98"/>
      <c r="C260" s="99"/>
      <c r="D260" s="99"/>
      <c r="E260" s="99"/>
      <c r="F260" s="99"/>
      <c r="G260" s="99"/>
      <c r="H260" s="98"/>
      <c r="I260" s="98"/>
      <c r="J260" s="98"/>
    </row>
    <row r="261" spans="1:10" ht="14.25">
      <c r="A261" s="98"/>
      <c r="B261" s="98"/>
      <c r="C261" s="99"/>
      <c r="D261" s="99"/>
      <c r="E261" s="99"/>
      <c r="F261" s="99"/>
      <c r="G261" s="99"/>
      <c r="H261" s="98"/>
      <c r="I261" s="98"/>
      <c r="J261" s="98"/>
    </row>
    <row r="262" spans="1:10" ht="14.25">
      <c r="A262" s="98"/>
      <c r="B262" s="98"/>
      <c r="C262" s="99"/>
      <c r="D262" s="99"/>
      <c r="E262" s="99"/>
      <c r="F262" s="99"/>
      <c r="G262" s="99"/>
      <c r="H262" s="98"/>
      <c r="I262" s="98"/>
      <c r="J262" s="98"/>
    </row>
    <row r="263" spans="1:10" ht="14.25">
      <c r="A263" s="98"/>
      <c r="B263" s="98"/>
      <c r="C263" s="99"/>
      <c r="D263" s="99"/>
      <c r="E263" s="99"/>
      <c r="F263" s="99"/>
      <c r="G263" s="99"/>
      <c r="H263" s="98"/>
      <c r="I263" s="98"/>
      <c r="J263" s="98"/>
    </row>
    <row r="264" spans="1:10" ht="14.25">
      <c r="A264" s="98"/>
      <c r="B264" s="98"/>
      <c r="C264" s="99"/>
      <c r="D264" s="99"/>
      <c r="E264" s="99"/>
      <c r="F264" s="99"/>
      <c r="G264" s="99"/>
      <c r="H264" s="98"/>
      <c r="I264" s="98"/>
      <c r="J264" s="98"/>
    </row>
    <row r="265" spans="1:10" ht="14.25">
      <c r="A265" s="98"/>
      <c r="B265" s="98"/>
      <c r="C265" s="99"/>
      <c r="D265" s="99"/>
      <c r="E265" s="99"/>
      <c r="F265" s="99"/>
      <c r="G265" s="99"/>
      <c r="H265" s="98"/>
      <c r="I265" s="98"/>
      <c r="J265" s="98"/>
    </row>
    <row r="266" spans="1:10" ht="14.25">
      <c r="A266" s="98"/>
      <c r="B266" s="98"/>
      <c r="C266" s="99"/>
      <c r="D266" s="99"/>
      <c r="E266" s="99"/>
      <c r="F266" s="99"/>
      <c r="G266" s="99"/>
      <c r="H266" s="98"/>
      <c r="I266" s="98"/>
      <c r="J266" s="98"/>
    </row>
    <row r="267" spans="1:10" ht="14.25">
      <c r="A267" s="98"/>
      <c r="B267" s="98"/>
      <c r="C267" s="99"/>
      <c r="D267" s="99"/>
      <c r="E267" s="99"/>
      <c r="F267" s="99"/>
      <c r="G267" s="99"/>
      <c r="H267" s="98"/>
      <c r="I267" s="98"/>
      <c r="J267" s="98"/>
    </row>
    <row r="268" spans="1:10" ht="14.25">
      <c r="A268" s="98"/>
      <c r="B268" s="98"/>
      <c r="C268" s="99"/>
      <c r="D268" s="99"/>
      <c r="E268" s="99"/>
      <c r="F268" s="99"/>
      <c r="G268" s="99"/>
      <c r="H268" s="98"/>
      <c r="I268" s="98"/>
      <c r="J268" s="98"/>
    </row>
    <row r="269" spans="1:10" ht="14.25">
      <c r="A269" s="98"/>
      <c r="B269" s="98"/>
      <c r="C269" s="99"/>
      <c r="D269" s="99"/>
      <c r="E269" s="99"/>
      <c r="F269" s="99"/>
      <c r="G269" s="99"/>
      <c r="H269" s="98"/>
      <c r="I269" s="98"/>
      <c r="J269" s="98"/>
    </row>
    <row r="270" spans="1:10" ht="14.25">
      <c r="A270" s="98"/>
      <c r="B270" s="98"/>
      <c r="C270" s="99"/>
      <c r="D270" s="99"/>
      <c r="E270" s="99"/>
      <c r="F270" s="99"/>
      <c r="G270" s="99"/>
      <c r="H270" s="98"/>
      <c r="I270" s="98"/>
      <c r="J270" s="98"/>
    </row>
    <row r="271" spans="1:10" ht="14.25">
      <c r="A271" s="98"/>
      <c r="B271" s="98"/>
      <c r="C271" s="99"/>
      <c r="D271" s="99"/>
      <c r="E271" s="99"/>
      <c r="F271" s="99"/>
      <c r="G271" s="99"/>
      <c r="H271" s="98"/>
      <c r="I271" s="98"/>
      <c r="J271" s="98"/>
    </row>
    <row r="272" spans="1:10" ht="14.25">
      <c r="A272" s="98"/>
      <c r="B272" s="98"/>
      <c r="C272" s="99"/>
      <c r="D272" s="99"/>
      <c r="E272" s="99"/>
      <c r="F272" s="99"/>
      <c r="G272" s="99"/>
      <c r="H272" s="98"/>
      <c r="I272" s="98"/>
      <c r="J272" s="98"/>
    </row>
    <row r="273" spans="1:10" ht="14.25">
      <c r="A273" s="98"/>
      <c r="B273" s="98"/>
      <c r="C273" s="99"/>
      <c r="D273" s="99"/>
      <c r="E273" s="99"/>
      <c r="F273" s="99"/>
      <c r="G273" s="99"/>
      <c r="H273" s="98"/>
      <c r="I273" s="98"/>
      <c r="J273" s="98"/>
    </row>
    <row r="274" spans="1:10" ht="14.25">
      <c r="A274" s="98"/>
      <c r="B274" s="98"/>
      <c r="C274" s="99"/>
      <c r="D274" s="99"/>
      <c r="E274" s="99"/>
      <c r="F274" s="99"/>
      <c r="G274" s="99"/>
      <c r="H274" s="98"/>
      <c r="I274" s="98"/>
      <c r="J274" s="98"/>
    </row>
    <row r="275" spans="1:10" ht="14.25">
      <c r="A275" s="98"/>
      <c r="B275" s="98"/>
      <c r="C275" s="99"/>
      <c r="D275" s="99"/>
      <c r="E275" s="99"/>
      <c r="F275" s="99"/>
      <c r="G275" s="99"/>
      <c r="H275" s="98"/>
      <c r="I275" s="98"/>
      <c r="J275" s="98"/>
    </row>
    <row r="276" spans="1:10" ht="14.25">
      <c r="A276" s="98"/>
      <c r="B276" s="98"/>
      <c r="C276" s="99"/>
      <c r="D276" s="99"/>
      <c r="E276" s="99"/>
      <c r="F276" s="99"/>
      <c r="G276" s="99"/>
      <c r="H276" s="98"/>
      <c r="I276" s="98"/>
      <c r="J276" s="98"/>
    </row>
    <row r="277" spans="1:10" ht="14.25">
      <c r="A277" s="98"/>
      <c r="B277" s="98"/>
      <c r="C277" s="99"/>
      <c r="D277" s="99"/>
      <c r="E277" s="99"/>
      <c r="F277" s="99"/>
      <c r="G277" s="99"/>
      <c r="H277" s="98"/>
      <c r="I277" s="98"/>
      <c r="J277" s="98"/>
    </row>
    <row r="278" spans="1:10" ht="14.25">
      <c r="A278" s="98"/>
      <c r="B278" s="98"/>
      <c r="C278" s="99"/>
      <c r="D278" s="99"/>
      <c r="E278" s="99"/>
      <c r="F278" s="99"/>
      <c r="G278" s="99"/>
      <c r="H278" s="98"/>
      <c r="I278" s="98"/>
      <c r="J278" s="98"/>
    </row>
    <row r="279" spans="1:10" ht="14.25">
      <c r="A279" s="98"/>
      <c r="B279" s="98"/>
      <c r="C279" s="99"/>
      <c r="D279" s="99"/>
      <c r="E279" s="99"/>
      <c r="F279" s="99"/>
      <c r="G279" s="99"/>
      <c r="H279" s="98"/>
      <c r="I279" s="98"/>
      <c r="J279" s="98"/>
    </row>
    <row r="280" spans="1:10" ht="14.25">
      <c r="A280" s="98"/>
      <c r="B280" s="98"/>
      <c r="C280" s="99"/>
      <c r="D280" s="99"/>
      <c r="E280" s="99"/>
      <c r="F280" s="99"/>
      <c r="G280" s="99"/>
      <c r="H280" s="98"/>
      <c r="I280" s="98"/>
      <c r="J280" s="98"/>
    </row>
    <row r="281" spans="1:10" ht="14.25">
      <c r="A281" s="98"/>
      <c r="B281" s="98"/>
      <c r="C281" s="99"/>
      <c r="D281" s="99"/>
      <c r="E281" s="99"/>
      <c r="F281" s="99"/>
      <c r="G281" s="99"/>
      <c r="H281" s="98"/>
      <c r="I281" s="98"/>
      <c r="J281" s="98"/>
    </row>
    <row r="282" spans="1:10" ht="14.25">
      <c r="A282" s="98"/>
      <c r="B282" s="98"/>
      <c r="C282" s="99"/>
      <c r="D282" s="99"/>
      <c r="E282" s="99"/>
      <c r="F282" s="99"/>
      <c r="G282" s="99"/>
      <c r="H282" s="98"/>
      <c r="I282" s="98"/>
      <c r="J282" s="98"/>
    </row>
    <row r="283" spans="1:10" ht="14.25">
      <c r="A283" s="98"/>
      <c r="B283" s="98"/>
      <c r="C283" s="99"/>
      <c r="D283" s="99"/>
      <c r="E283" s="99"/>
      <c r="F283" s="99"/>
      <c r="G283" s="99"/>
      <c r="H283" s="98"/>
      <c r="I283" s="98"/>
      <c r="J283" s="98"/>
    </row>
    <row r="284" spans="1:10" ht="14.25">
      <c r="A284" s="98"/>
      <c r="B284" s="98"/>
      <c r="C284" s="99"/>
      <c r="D284" s="99"/>
      <c r="E284" s="99"/>
      <c r="F284" s="99"/>
      <c r="G284" s="99"/>
      <c r="H284" s="98"/>
      <c r="I284" s="98"/>
      <c r="J284" s="98"/>
    </row>
    <row r="285" spans="1:10" ht="14.25">
      <c r="A285" s="98"/>
      <c r="B285" s="98"/>
      <c r="C285" s="99"/>
      <c r="D285" s="99"/>
      <c r="E285" s="99"/>
      <c r="F285" s="99"/>
      <c r="G285" s="99"/>
      <c r="H285" s="98"/>
      <c r="I285" s="98"/>
      <c r="J285" s="98"/>
    </row>
    <row r="286" spans="1:10" ht="14.25">
      <c r="A286" s="98"/>
      <c r="B286" s="98"/>
      <c r="C286" s="99"/>
      <c r="D286" s="99"/>
      <c r="E286" s="99"/>
      <c r="F286" s="99"/>
      <c r="G286" s="99"/>
      <c r="H286" s="98"/>
      <c r="I286" s="98"/>
      <c r="J286" s="98"/>
    </row>
    <row r="287" spans="1:10" ht="14.25">
      <c r="A287" s="98"/>
      <c r="B287" s="98"/>
      <c r="C287" s="99"/>
      <c r="D287" s="99"/>
      <c r="E287" s="99"/>
      <c r="F287" s="99"/>
      <c r="G287" s="99"/>
      <c r="H287" s="98"/>
      <c r="I287" s="98"/>
      <c r="J287" s="98"/>
    </row>
    <row r="288" spans="1:10" ht="14.25">
      <c r="A288" s="98"/>
      <c r="B288" s="98"/>
      <c r="C288" s="99"/>
      <c r="D288" s="99"/>
      <c r="E288" s="99"/>
      <c r="F288" s="99"/>
      <c r="G288" s="99"/>
      <c r="H288" s="98"/>
      <c r="I288" s="98"/>
      <c r="J288" s="98"/>
    </row>
    <row r="289" spans="1:10" ht="14.25">
      <c r="A289" s="98"/>
      <c r="B289" s="98"/>
      <c r="C289" s="99"/>
      <c r="D289" s="99"/>
      <c r="E289" s="99"/>
      <c r="F289" s="99"/>
      <c r="G289" s="99"/>
      <c r="H289" s="98"/>
      <c r="I289" s="98"/>
      <c r="J289" s="98"/>
    </row>
    <row r="290" spans="1:10" ht="14.25">
      <c r="A290" s="98"/>
      <c r="B290" s="98"/>
      <c r="C290" s="99"/>
      <c r="D290" s="99"/>
      <c r="E290" s="99"/>
      <c r="F290" s="99"/>
      <c r="G290" s="99"/>
      <c r="H290" s="98"/>
      <c r="I290" s="98"/>
      <c r="J290" s="98"/>
    </row>
    <row r="291" spans="1:10" ht="14.25">
      <c r="A291" s="98"/>
      <c r="B291" s="98"/>
      <c r="C291" s="99"/>
      <c r="D291" s="99"/>
      <c r="E291" s="99"/>
      <c r="F291" s="99"/>
      <c r="G291" s="99"/>
      <c r="H291" s="98"/>
      <c r="I291" s="98"/>
      <c r="J291" s="98"/>
    </row>
    <row r="292" spans="1:10" ht="14.25">
      <c r="A292" s="98"/>
      <c r="B292" s="98"/>
      <c r="C292" s="99"/>
      <c r="D292" s="99"/>
      <c r="E292" s="99"/>
      <c r="F292" s="99"/>
      <c r="G292" s="99"/>
      <c r="H292" s="98"/>
      <c r="I292" s="98"/>
      <c r="J292" s="98"/>
    </row>
    <row r="293" spans="1:10" ht="14.25">
      <c r="A293" s="98"/>
      <c r="B293" s="98"/>
      <c r="C293" s="99"/>
      <c r="D293" s="99"/>
      <c r="E293" s="99"/>
      <c r="F293" s="99"/>
      <c r="G293" s="99"/>
      <c r="H293" s="98"/>
      <c r="I293" s="98"/>
      <c r="J293" s="98"/>
    </row>
    <row r="294" spans="1:10" ht="14.25">
      <c r="A294" s="98"/>
      <c r="B294" s="98"/>
      <c r="C294" s="99"/>
      <c r="D294" s="99"/>
      <c r="E294" s="99"/>
      <c r="F294" s="99"/>
      <c r="G294" s="99"/>
      <c r="H294" s="98"/>
      <c r="I294" s="98"/>
      <c r="J294" s="98"/>
    </row>
    <row r="295" spans="1:10" ht="14.25">
      <c r="A295" s="98"/>
      <c r="B295" s="98"/>
      <c r="C295" s="99"/>
      <c r="D295" s="99"/>
      <c r="E295" s="99"/>
      <c r="F295" s="99"/>
      <c r="G295" s="99"/>
      <c r="H295" s="98"/>
      <c r="I295" s="98"/>
      <c r="J295" s="98"/>
    </row>
    <row r="296" spans="1:10" ht="14.25">
      <c r="A296" s="98"/>
      <c r="B296" s="98"/>
      <c r="C296" s="99"/>
      <c r="D296" s="99"/>
      <c r="E296" s="99"/>
      <c r="F296" s="99"/>
      <c r="G296" s="99"/>
      <c r="H296" s="98"/>
      <c r="I296" s="98"/>
      <c r="J296" s="98"/>
    </row>
    <row r="297" spans="1:10" ht="14.25">
      <c r="A297" s="98"/>
      <c r="B297" s="98"/>
      <c r="C297" s="99"/>
      <c r="D297" s="99"/>
      <c r="E297" s="99"/>
      <c r="F297" s="99"/>
      <c r="G297" s="99"/>
      <c r="H297" s="98"/>
      <c r="I297" s="98"/>
      <c r="J297" s="98"/>
    </row>
    <row r="298" spans="1:10" ht="14.25">
      <c r="A298" s="98"/>
      <c r="B298" s="98"/>
      <c r="C298" s="99"/>
      <c r="D298" s="99"/>
      <c r="E298" s="99"/>
      <c r="F298" s="99"/>
      <c r="G298" s="99"/>
      <c r="H298" s="98"/>
      <c r="I298" s="98"/>
      <c r="J298" s="98"/>
    </row>
    <row r="299" spans="1:10" ht="14.25">
      <c r="A299" s="98"/>
      <c r="B299" s="98"/>
      <c r="C299" s="99"/>
      <c r="D299" s="99"/>
      <c r="E299" s="99"/>
      <c r="F299" s="99"/>
      <c r="G299" s="99"/>
      <c r="H299" s="98"/>
      <c r="I299" s="98"/>
      <c r="J299" s="98"/>
    </row>
    <row r="300" spans="1:10" ht="14.25">
      <c r="A300" s="98"/>
      <c r="B300" s="98"/>
      <c r="C300" s="99"/>
      <c r="D300" s="99"/>
      <c r="E300" s="99"/>
      <c r="F300" s="99"/>
      <c r="G300" s="99"/>
      <c r="H300" s="98"/>
      <c r="I300" s="98"/>
      <c r="J300" s="98"/>
    </row>
    <row r="301" spans="1:10" ht="14.25">
      <c r="A301" s="98"/>
      <c r="B301" s="98"/>
      <c r="C301" s="99"/>
      <c r="D301" s="99"/>
      <c r="E301" s="99"/>
      <c r="F301" s="99"/>
      <c r="G301" s="99"/>
      <c r="H301" s="98"/>
      <c r="I301" s="98"/>
      <c r="J301" s="98"/>
    </row>
    <row r="302" spans="1:10" ht="14.25">
      <c r="A302" s="98"/>
      <c r="B302" s="98"/>
      <c r="C302" s="99"/>
      <c r="D302" s="99"/>
      <c r="E302" s="99"/>
      <c r="F302" s="99"/>
      <c r="G302" s="99"/>
      <c r="H302" s="98"/>
      <c r="I302" s="98"/>
      <c r="J302" s="98"/>
    </row>
    <row r="303" spans="1:10" ht="14.25">
      <c r="A303" s="98"/>
      <c r="B303" s="98"/>
      <c r="C303" s="99"/>
      <c r="D303" s="99"/>
      <c r="E303" s="99"/>
      <c r="F303" s="99"/>
      <c r="G303" s="99"/>
      <c r="H303" s="98"/>
      <c r="I303" s="98"/>
      <c r="J303" s="98"/>
    </row>
    <row r="304" spans="1:10" ht="14.25">
      <c r="A304" s="98"/>
      <c r="B304" s="98"/>
      <c r="C304" s="99"/>
      <c r="D304" s="99"/>
      <c r="E304" s="99"/>
      <c r="F304" s="99"/>
      <c r="G304" s="99"/>
      <c r="H304" s="98"/>
      <c r="I304" s="98"/>
      <c r="J304" s="98"/>
    </row>
    <row r="305" spans="1:10" ht="14.25">
      <c r="A305" s="98"/>
      <c r="B305" s="98"/>
      <c r="C305" s="99"/>
      <c r="D305" s="99"/>
      <c r="E305" s="99"/>
      <c r="F305" s="99"/>
      <c r="G305" s="99"/>
      <c r="H305" s="98"/>
      <c r="I305" s="98"/>
      <c r="J305" s="98"/>
    </row>
    <row r="306" spans="1:10" ht="14.25">
      <c r="A306" s="98"/>
      <c r="B306" s="98"/>
      <c r="C306" s="99"/>
      <c r="D306" s="99"/>
      <c r="E306" s="99"/>
      <c r="F306" s="99"/>
      <c r="G306" s="99"/>
      <c r="H306" s="98"/>
      <c r="I306" s="98"/>
      <c r="J306" s="98"/>
    </row>
    <row r="307" spans="1:10" ht="14.25">
      <c r="A307" s="98"/>
      <c r="B307" s="98"/>
      <c r="C307" s="99"/>
      <c r="D307" s="99"/>
      <c r="E307" s="99"/>
      <c r="F307" s="99"/>
      <c r="G307" s="99"/>
      <c r="H307" s="98"/>
      <c r="I307" s="98"/>
      <c r="J307" s="98"/>
    </row>
    <row r="308" spans="1:10" ht="14.25">
      <c r="A308" s="98"/>
      <c r="B308" s="98"/>
      <c r="C308" s="99"/>
      <c r="D308" s="99"/>
      <c r="E308" s="99"/>
      <c r="F308" s="99"/>
      <c r="G308" s="99"/>
      <c r="H308" s="98"/>
      <c r="I308" s="98"/>
      <c r="J308" s="98"/>
    </row>
    <row r="309" spans="1:10" ht="14.25">
      <c r="A309" s="98"/>
      <c r="B309" s="98"/>
      <c r="C309" s="99"/>
      <c r="D309" s="99"/>
      <c r="E309" s="99"/>
      <c r="F309" s="99"/>
      <c r="G309" s="99"/>
      <c r="H309" s="98"/>
      <c r="I309" s="98"/>
      <c r="J309" s="98"/>
    </row>
    <row r="310" spans="1:10" ht="14.25">
      <c r="A310" s="98"/>
      <c r="B310" s="98"/>
      <c r="C310" s="99"/>
      <c r="D310" s="99"/>
      <c r="E310" s="99"/>
      <c r="F310" s="99"/>
      <c r="G310" s="99"/>
      <c r="H310" s="98"/>
      <c r="I310" s="98"/>
      <c r="J310" s="98"/>
    </row>
    <row r="311" spans="1:10" ht="14.25">
      <c r="A311" s="98"/>
      <c r="B311" s="98"/>
      <c r="C311" s="99"/>
      <c r="D311" s="99"/>
      <c r="E311" s="99"/>
      <c r="F311" s="99"/>
      <c r="G311" s="99"/>
      <c r="H311" s="98"/>
      <c r="I311" s="98"/>
      <c r="J311" s="98"/>
    </row>
    <row r="312" spans="1:10" ht="14.25">
      <c r="A312" s="98"/>
      <c r="B312" s="98"/>
      <c r="C312" s="99"/>
      <c r="D312" s="99"/>
      <c r="E312" s="99"/>
      <c r="F312" s="99"/>
      <c r="G312" s="99"/>
      <c r="H312" s="98"/>
      <c r="I312" s="98"/>
      <c r="J312" s="98"/>
    </row>
    <row r="313" spans="1:10" ht="14.25">
      <c r="A313" s="98"/>
      <c r="B313" s="98"/>
      <c r="C313" s="99"/>
      <c r="D313" s="99"/>
      <c r="E313" s="99"/>
      <c r="F313" s="99"/>
      <c r="G313" s="99"/>
      <c r="H313" s="98"/>
      <c r="I313" s="98"/>
      <c r="J313" s="98"/>
    </row>
    <row r="314" spans="1:10" ht="14.25">
      <c r="A314" s="98"/>
      <c r="B314" s="98"/>
      <c r="C314" s="99"/>
      <c r="D314" s="99"/>
      <c r="E314" s="99"/>
      <c r="F314" s="99"/>
      <c r="G314" s="99"/>
      <c r="H314" s="98"/>
      <c r="I314" s="98"/>
      <c r="J314" s="98"/>
    </row>
    <row r="315" spans="1:10" ht="14.25">
      <c r="A315" s="98"/>
      <c r="B315" s="98"/>
      <c r="C315" s="99"/>
      <c r="D315" s="99"/>
      <c r="E315" s="99"/>
      <c r="F315" s="99"/>
      <c r="G315" s="99"/>
      <c r="H315" s="98"/>
      <c r="I315" s="98"/>
      <c r="J315" s="98"/>
    </row>
    <row r="316" spans="1:10" ht="14.25">
      <c r="A316" s="98"/>
      <c r="B316" s="98"/>
      <c r="C316" s="99"/>
      <c r="D316" s="99"/>
      <c r="E316" s="99"/>
      <c r="F316" s="99"/>
      <c r="G316" s="99"/>
      <c r="H316" s="98"/>
      <c r="I316" s="98"/>
      <c r="J316" s="98"/>
    </row>
    <row r="317" spans="1:10" ht="14.25">
      <c r="A317" s="98"/>
      <c r="B317" s="98"/>
      <c r="C317" s="99"/>
      <c r="D317" s="99"/>
      <c r="E317" s="99"/>
      <c r="F317" s="99"/>
      <c r="G317" s="99"/>
      <c r="H317" s="98"/>
      <c r="I317" s="98"/>
      <c r="J317" s="98"/>
    </row>
    <row r="318" spans="1:10" ht="14.25">
      <c r="A318" s="98"/>
      <c r="B318" s="98"/>
      <c r="C318" s="99"/>
      <c r="D318" s="99"/>
      <c r="E318" s="99"/>
      <c r="F318" s="99"/>
      <c r="G318" s="99"/>
      <c r="H318" s="98"/>
      <c r="I318" s="98"/>
      <c r="J318" s="98"/>
    </row>
    <row r="319" spans="1:10" ht="14.25">
      <c r="A319" s="98"/>
      <c r="B319" s="98"/>
      <c r="C319" s="99"/>
      <c r="D319" s="99"/>
      <c r="E319" s="99"/>
      <c r="F319" s="99"/>
      <c r="G319" s="99"/>
      <c r="H319" s="98"/>
      <c r="I319" s="98"/>
      <c r="J319" s="98"/>
    </row>
    <row r="320" spans="1:10" ht="14.25">
      <c r="A320" s="98"/>
      <c r="B320" s="98"/>
      <c r="C320" s="99"/>
      <c r="D320" s="99"/>
      <c r="E320" s="99"/>
      <c r="F320" s="99"/>
      <c r="G320" s="99"/>
      <c r="H320" s="98"/>
      <c r="I320" s="98"/>
      <c r="J320" s="98"/>
    </row>
    <row r="321" spans="1:10" ht="14.25">
      <c r="A321" s="98"/>
      <c r="B321" s="98"/>
      <c r="C321" s="99"/>
      <c r="D321" s="99"/>
      <c r="E321" s="99"/>
      <c r="F321" s="99"/>
      <c r="G321" s="99"/>
      <c r="H321" s="98"/>
      <c r="I321" s="98"/>
      <c r="J321" s="98"/>
    </row>
    <row r="322" spans="1:10" ht="14.25">
      <c r="A322" s="98"/>
      <c r="B322" s="98"/>
      <c r="C322" s="99"/>
      <c r="D322" s="99"/>
      <c r="E322" s="99"/>
      <c r="F322" s="99"/>
      <c r="G322" s="99"/>
      <c r="H322" s="98"/>
      <c r="I322" s="98"/>
      <c r="J322" s="98"/>
    </row>
    <row r="323" spans="1:10" ht="14.25">
      <c r="A323" s="98"/>
      <c r="B323" s="98"/>
      <c r="C323" s="99"/>
      <c r="D323" s="99"/>
      <c r="E323" s="99"/>
      <c r="F323" s="99"/>
      <c r="G323" s="99"/>
      <c r="H323" s="98"/>
      <c r="I323" s="98"/>
      <c r="J323" s="98"/>
    </row>
    <row r="324" spans="1:10" ht="14.25">
      <c r="A324" s="98"/>
      <c r="B324" s="98"/>
      <c r="C324" s="99"/>
      <c r="D324" s="99"/>
      <c r="E324" s="99"/>
      <c r="F324" s="99"/>
      <c r="G324" s="99"/>
      <c r="H324" s="98"/>
      <c r="I324" s="98"/>
      <c r="J324" s="98"/>
    </row>
    <row r="325" spans="1:10" ht="14.25">
      <c r="A325" s="98"/>
      <c r="B325" s="98"/>
      <c r="C325" s="99"/>
      <c r="D325" s="99"/>
      <c r="E325" s="99"/>
      <c r="F325" s="99"/>
      <c r="G325" s="99"/>
      <c r="H325" s="98"/>
      <c r="I325" s="98"/>
      <c r="J325" s="98"/>
    </row>
    <row r="326" spans="1:10" ht="14.25">
      <c r="A326" s="98"/>
      <c r="B326" s="98"/>
      <c r="C326" s="99"/>
      <c r="D326" s="99"/>
      <c r="E326" s="99"/>
      <c r="F326" s="99"/>
      <c r="G326" s="99"/>
      <c r="H326" s="98"/>
      <c r="I326" s="98"/>
      <c r="J326" s="98"/>
    </row>
    <row r="327" spans="1:10" ht="14.25">
      <c r="A327" s="98"/>
      <c r="B327" s="98"/>
      <c r="C327" s="99"/>
      <c r="D327" s="99"/>
      <c r="E327" s="99"/>
      <c r="F327" s="99"/>
      <c r="G327" s="99"/>
      <c r="H327" s="98"/>
      <c r="I327" s="98"/>
      <c r="J327" s="98"/>
    </row>
    <row r="328" spans="1:10" ht="14.25">
      <c r="A328" s="98"/>
      <c r="B328" s="98"/>
      <c r="C328" s="99"/>
      <c r="D328" s="99"/>
      <c r="E328" s="99"/>
      <c r="F328" s="99"/>
      <c r="G328" s="99"/>
      <c r="H328" s="98"/>
      <c r="I328" s="98"/>
      <c r="J328" s="98"/>
    </row>
    <row r="329" spans="1:10" ht="14.25">
      <c r="A329" s="98"/>
      <c r="B329" s="98"/>
      <c r="C329" s="99"/>
      <c r="D329" s="99"/>
      <c r="E329" s="99"/>
      <c r="F329" s="99"/>
      <c r="G329" s="99"/>
      <c r="H329" s="98"/>
      <c r="I329" s="98"/>
      <c r="J329" s="98"/>
    </row>
    <row r="330" spans="1:10" ht="14.25">
      <c r="A330" s="98"/>
      <c r="B330" s="98"/>
      <c r="C330" s="99"/>
      <c r="D330" s="99"/>
      <c r="E330" s="99"/>
      <c r="F330" s="99"/>
      <c r="G330" s="99"/>
      <c r="H330" s="98"/>
      <c r="I330" s="98"/>
      <c r="J330" s="98"/>
    </row>
    <row r="331" spans="1:10" ht="14.25">
      <c r="A331" s="98"/>
      <c r="B331" s="98"/>
      <c r="C331" s="99"/>
      <c r="D331" s="99"/>
      <c r="E331" s="99"/>
      <c r="F331" s="99"/>
      <c r="G331" s="99"/>
      <c r="H331" s="98"/>
      <c r="I331" s="98"/>
      <c r="J331" s="98"/>
    </row>
    <row r="332" spans="1:10" ht="14.25">
      <c r="A332" s="98"/>
      <c r="B332" s="98"/>
      <c r="C332" s="99"/>
      <c r="D332" s="99"/>
      <c r="E332" s="99"/>
      <c r="F332" s="99"/>
      <c r="G332" s="99"/>
      <c r="H332" s="98"/>
      <c r="I332" s="98"/>
      <c r="J332" s="98"/>
    </row>
    <row r="333" spans="1:10" ht="14.25">
      <c r="A333" s="98"/>
      <c r="B333" s="98"/>
      <c r="C333" s="99"/>
      <c r="D333" s="99"/>
      <c r="E333" s="99"/>
      <c r="F333" s="99"/>
      <c r="G333" s="99"/>
      <c r="H333" s="98"/>
      <c r="I333" s="98"/>
      <c r="J333" s="98"/>
    </row>
    <row r="334" spans="1:10" ht="14.25">
      <c r="A334" s="98"/>
      <c r="B334" s="98"/>
      <c r="C334" s="99"/>
      <c r="D334" s="99"/>
      <c r="E334" s="99"/>
      <c r="F334" s="99"/>
      <c r="G334" s="99"/>
      <c r="H334" s="98"/>
      <c r="I334" s="98"/>
      <c r="J334" s="98"/>
    </row>
    <row r="335" spans="1:10" ht="14.25">
      <c r="A335" s="98"/>
      <c r="B335" s="98"/>
      <c r="C335" s="99"/>
      <c r="D335" s="99"/>
      <c r="E335" s="99"/>
      <c r="F335" s="99"/>
      <c r="G335" s="99"/>
      <c r="H335" s="98"/>
      <c r="I335" s="98"/>
      <c r="J335" s="98"/>
    </row>
    <row r="336" spans="1:10" ht="14.25">
      <c r="A336" s="98"/>
      <c r="B336" s="98"/>
      <c r="C336" s="99"/>
      <c r="D336" s="99"/>
      <c r="E336" s="99"/>
      <c r="F336" s="99"/>
      <c r="G336" s="99"/>
      <c r="H336" s="98"/>
      <c r="I336" s="98"/>
      <c r="J336" s="98"/>
    </row>
    <row r="337" spans="1:10" ht="14.25">
      <c r="A337" s="98"/>
      <c r="B337" s="98"/>
      <c r="C337" s="99"/>
      <c r="D337" s="99"/>
      <c r="E337" s="99"/>
      <c r="F337" s="99"/>
      <c r="G337" s="99"/>
      <c r="H337" s="98"/>
      <c r="I337" s="98"/>
      <c r="J337" s="98"/>
    </row>
    <row r="338" spans="1:10" ht="14.25">
      <c r="A338" s="98"/>
      <c r="B338" s="98"/>
      <c r="C338" s="99"/>
      <c r="D338" s="99"/>
      <c r="E338" s="99"/>
      <c r="F338" s="99"/>
      <c r="G338" s="99"/>
      <c r="H338" s="98"/>
      <c r="I338" s="98"/>
      <c r="J338" s="98"/>
    </row>
    <row r="339" spans="1:10" ht="14.25">
      <c r="A339" s="98"/>
      <c r="B339" s="98"/>
      <c r="C339" s="99"/>
      <c r="D339" s="99"/>
      <c r="E339" s="99"/>
      <c r="F339" s="99"/>
      <c r="G339" s="99"/>
      <c r="H339" s="98"/>
      <c r="I339" s="98"/>
      <c r="J339" s="98"/>
    </row>
    <row r="340" spans="1:10" ht="14.25">
      <c r="A340" s="98"/>
      <c r="B340" s="98"/>
      <c r="C340" s="99"/>
      <c r="D340" s="99"/>
      <c r="E340" s="99"/>
      <c r="F340" s="99"/>
      <c r="G340" s="99"/>
      <c r="H340" s="98"/>
      <c r="I340" s="98"/>
      <c r="J340" s="98"/>
    </row>
    <row r="341" spans="1:10" ht="14.25">
      <c r="A341" s="98"/>
      <c r="B341" s="98"/>
      <c r="C341" s="99"/>
      <c r="D341" s="99"/>
      <c r="E341" s="99"/>
      <c r="F341" s="99"/>
      <c r="G341" s="99"/>
      <c r="H341" s="98"/>
      <c r="I341" s="98"/>
      <c r="J341" s="98"/>
    </row>
    <row r="342" spans="1:10" ht="14.25">
      <c r="A342" s="98"/>
      <c r="B342" s="98"/>
      <c r="C342" s="99"/>
      <c r="D342" s="99"/>
      <c r="E342" s="99"/>
      <c r="F342" s="99"/>
      <c r="G342" s="99"/>
      <c r="H342" s="98"/>
      <c r="I342" s="98"/>
      <c r="J342" s="98"/>
    </row>
    <row r="343" spans="1:10" ht="14.25">
      <c r="A343" s="98"/>
      <c r="B343" s="98"/>
      <c r="C343" s="99"/>
      <c r="D343" s="99"/>
      <c r="E343" s="99"/>
      <c r="F343" s="99"/>
      <c r="G343" s="99"/>
      <c r="H343" s="98"/>
      <c r="I343" s="98"/>
      <c r="J343" s="98"/>
    </row>
    <row r="344" spans="1:10" ht="14.25">
      <c r="A344" s="98"/>
      <c r="B344" s="98"/>
      <c r="C344" s="99"/>
      <c r="D344" s="99"/>
      <c r="E344" s="99"/>
      <c r="F344" s="99"/>
      <c r="G344" s="99"/>
      <c r="H344" s="98"/>
      <c r="I344" s="98"/>
      <c r="J344" s="98"/>
    </row>
    <row r="345" spans="1:10" ht="14.25">
      <c r="A345" s="98"/>
      <c r="B345" s="98"/>
      <c r="C345" s="99"/>
      <c r="D345" s="99"/>
      <c r="E345" s="99"/>
      <c r="F345" s="99"/>
      <c r="G345" s="99"/>
      <c r="H345" s="98"/>
      <c r="I345" s="98"/>
      <c r="J345" s="98"/>
    </row>
    <row r="346" spans="1:10" ht="14.25">
      <c r="A346" s="98"/>
      <c r="B346" s="98"/>
      <c r="C346" s="99"/>
      <c r="D346" s="99"/>
      <c r="E346" s="99"/>
      <c r="F346" s="99"/>
      <c r="G346" s="99"/>
      <c r="H346" s="98"/>
      <c r="I346" s="98"/>
      <c r="J346" s="98"/>
    </row>
    <row r="347" spans="1:10" ht="14.25">
      <c r="A347" s="98"/>
      <c r="B347" s="98"/>
      <c r="C347" s="99"/>
      <c r="D347" s="99"/>
      <c r="E347" s="99"/>
      <c r="F347" s="99"/>
      <c r="G347" s="99"/>
      <c r="H347" s="98"/>
      <c r="I347" s="98"/>
      <c r="J347" s="98"/>
    </row>
    <row r="348" spans="1:10" ht="14.25">
      <c r="A348" s="98"/>
      <c r="B348" s="98"/>
      <c r="C348" s="99"/>
      <c r="D348" s="99"/>
      <c r="E348" s="99"/>
      <c r="F348" s="99"/>
      <c r="G348" s="99"/>
      <c r="H348" s="98"/>
      <c r="I348" s="98"/>
      <c r="J348" s="98"/>
    </row>
    <row r="349" spans="1:10" ht="14.25">
      <c r="A349" s="98"/>
      <c r="B349" s="98"/>
      <c r="C349" s="99"/>
      <c r="D349" s="99"/>
      <c r="E349" s="99"/>
      <c r="F349" s="99"/>
      <c r="G349" s="99"/>
      <c r="H349" s="98"/>
      <c r="I349" s="98"/>
      <c r="J349" s="98"/>
    </row>
    <row r="350" spans="1:10" ht="14.25">
      <c r="A350" s="98"/>
      <c r="B350" s="98"/>
      <c r="C350" s="99"/>
      <c r="D350" s="99"/>
      <c r="E350" s="99"/>
      <c r="F350" s="99"/>
      <c r="G350" s="99"/>
      <c r="H350" s="98"/>
      <c r="I350" s="98"/>
      <c r="J350" s="98"/>
    </row>
    <row r="351" spans="1:10" ht="14.25">
      <c r="A351" s="98"/>
      <c r="B351" s="98"/>
      <c r="C351" s="99"/>
      <c r="D351" s="99"/>
      <c r="E351" s="99"/>
      <c r="F351" s="99"/>
      <c r="G351" s="99"/>
      <c r="H351" s="98"/>
      <c r="I351" s="98"/>
      <c r="J351" s="98"/>
    </row>
    <row r="352" spans="1:10" ht="14.25">
      <c r="A352" s="98"/>
      <c r="B352" s="98"/>
      <c r="C352" s="99"/>
      <c r="D352" s="99"/>
      <c r="E352" s="99"/>
      <c r="F352" s="99"/>
      <c r="G352" s="99"/>
      <c r="H352" s="98"/>
      <c r="I352" s="98"/>
      <c r="J352" s="98"/>
    </row>
    <row r="353" spans="1:10" ht="14.25">
      <c r="A353" s="98"/>
      <c r="B353" s="98"/>
      <c r="C353" s="99"/>
      <c r="D353" s="99"/>
      <c r="E353" s="99"/>
      <c r="F353" s="99"/>
      <c r="G353" s="99"/>
      <c r="H353" s="98"/>
      <c r="I353" s="98"/>
      <c r="J353" s="98"/>
    </row>
    <row r="354" spans="1:10" ht="14.25">
      <c r="A354" s="98"/>
      <c r="B354" s="98"/>
      <c r="C354" s="99"/>
      <c r="D354" s="99"/>
      <c r="E354" s="99"/>
      <c r="F354" s="99"/>
      <c r="G354" s="99"/>
      <c r="H354" s="98"/>
      <c r="I354" s="98"/>
      <c r="J354" s="98"/>
    </row>
  </sheetData>
  <mergeCells count="3">
    <mergeCell ref="A42:H42"/>
    <mergeCell ref="A3:K3"/>
    <mergeCell ref="A1:L1"/>
  </mergeCells>
  <printOptions horizontalCentered="1" verticalCentered="1"/>
  <pageMargins left="0.1968503937007874" right="0.1968503937007874" top="0.5511811023622047" bottom="0.7480314960629921" header="0.5118110236220472" footer="0.5118110236220472"/>
  <pageSetup firstPageNumber="173" useFirstPageNumber="1" horizontalDpi="600" verticalDpi="600" orientation="landscape" scale="65" r:id="rId1"/>
  <headerFooter alignWithMargins="0">
    <oddHeader>&amp;R&amp;"Arial,Bold"Appendix 1</oddHeader>
    <oddFooter>&amp;L&amp;8&amp;D&amp;T&amp;Z&amp;F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L43"/>
  <sheetViews>
    <sheetView view="pageBreakPreview" zoomScale="75" zoomScaleNormal="70" zoomScaleSheetLayoutView="75" workbookViewId="0" topLeftCell="C1">
      <selection activeCell="K1" sqref="K1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3" width="14.00390625" style="2" bestFit="1" customWidth="1"/>
    <col min="4" max="4" width="14.00390625" style="2" customWidth="1"/>
    <col min="5" max="5" width="14.00390625" style="2" bestFit="1" customWidth="1"/>
    <col min="6" max="6" width="11.7109375" style="2" bestFit="1" customWidth="1"/>
    <col min="7" max="7" width="13.57421875" style="2" bestFit="1" customWidth="1"/>
    <col min="8" max="8" width="14.00390625" style="1" bestFit="1" customWidth="1"/>
    <col min="9" max="10" width="14.00390625" style="1" customWidth="1"/>
    <col min="11" max="11" width="14.00390625" style="1" bestFit="1" customWidth="1"/>
    <col min="12" max="12" width="14.00390625" style="1" customWidth="1"/>
    <col min="13" max="16384" width="9.140625" style="1" customWidth="1"/>
  </cols>
  <sheetData>
    <row r="2" spans="1:12" ht="18">
      <c r="A2" s="310" t="s">
        <v>273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</row>
    <row r="3" spans="1:10" ht="18">
      <c r="A3" s="17"/>
      <c r="B3" s="18"/>
      <c r="C3" s="18"/>
      <c r="D3" s="18"/>
      <c r="E3" s="18"/>
      <c r="F3" s="18"/>
      <c r="G3" s="18"/>
      <c r="H3" s="18"/>
      <c r="I3" s="18"/>
      <c r="J3" s="18"/>
    </row>
    <row r="4" spans="1:11" ht="18">
      <c r="A4" s="310" t="s">
        <v>216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</row>
    <row r="5" ht="15" thickBot="1"/>
    <row r="6" spans="2:12" ht="14.25">
      <c r="B6" s="126"/>
      <c r="C6" s="283" t="s">
        <v>2</v>
      </c>
      <c r="D6" s="283" t="s">
        <v>2</v>
      </c>
      <c r="E6" s="284" t="s">
        <v>2</v>
      </c>
      <c r="F6" s="284" t="s">
        <v>2</v>
      </c>
      <c r="G6" s="285" t="s">
        <v>2</v>
      </c>
      <c r="H6" s="283" t="s">
        <v>37</v>
      </c>
      <c r="I6" s="284" t="s">
        <v>37</v>
      </c>
      <c r="J6" s="285" t="s">
        <v>37</v>
      </c>
      <c r="K6" s="284" t="s">
        <v>63</v>
      </c>
      <c r="L6" s="285" t="s">
        <v>226</v>
      </c>
    </row>
    <row r="7" spans="2:12" ht="14.25">
      <c r="B7" s="127"/>
      <c r="C7" s="109" t="s">
        <v>288</v>
      </c>
      <c r="D7" s="109" t="s">
        <v>42</v>
      </c>
      <c r="E7" s="19" t="s">
        <v>289</v>
      </c>
      <c r="F7" s="4" t="s">
        <v>293</v>
      </c>
      <c r="G7" s="53" t="s">
        <v>281</v>
      </c>
      <c r="H7" s="109" t="s">
        <v>174</v>
      </c>
      <c r="I7" s="4" t="s">
        <v>293</v>
      </c>
      <c r="J7" s="53" t="s">
        <v>281</v>
      </c>
      <c r="K7" s="4" t="s">
        <v>174</v>
      </c>
      <c r="L7" s="53" t="s">
        <v>174</v>
      </c>
    </row>
    <row r="8" spans="2:12" ht="14.25">
      <c r="B8" s="127" t="s">
        <v>3</v>
      </c>
      <c r="C8" s="109" t="s">
        <v>174</v>
      </c>
      <c r="D8" s="109" t="s">
        <v>174</v>
      </c>
      <c r="E8" s="4" t="s">
        <v>282</v>
      </c>
      <c r="F8" s="4" t="s">
        <v>279</v>
      </c>
      <c r="G8" s="53" t="s">
        <v>292</v>
      </c>
      <c r="H8" s="109" t="s">
        <v>175</v>
      </c>
      <c r="I8" s="4" t="s">
        <v>279</v>
      </c>
      <c r="J8" s="53" t="s">
        <v>292</v>
      </c>
      <c r="K8" s="4" t="s">
        <v>175</v>
      </c>
      <c r="L8" s="53" t="s">
        <v>175</v>
      </c>
    </row>
    <row r="9" spans="2:12" ht="14.25">
      <c r="B9" s="127"/>
      <c r="C9" s="109" t="s">
        <v>175</v>
      </c>
      <c r="D9" s="109" t="s">
        <v>175</v>
      </c>
      <c r="E9" s="4" t="s">
        <v>175</v>
      </c>
      <c r="F9" s="4" t="s">
        <v>280</v>
      </c>
      <c r="G9" s="53" t="s">
        <v>282</v>
      </c>
      <c r="H9" s="109" t="s">
        <v>291</v>
      </c>
      <c r="I9" s="4" t="s">
        <v>280</v>
      </c>
      <c r="J9" s="53" t="s">
        <v>282</v>
      </c>
      <c r="K9" s="4"/>
      <c r="L9" s="53"/>
    </row>
    <row r="10" spans="2:12" ht="14.25">
      <c r="B10" s="128"/>
      <c r="C10" s="110" t="s">
        <v>5</v>
      </c>
      <c r="D10" s="110" t="s">
        <v>5</v>
      </c>
      <c r="E10" s="5" t="s">
        <v>5</v>
      </c>
      <c r="F10" s="5" t="s">
        <v>5</v>
      </c>
      <c r="G10" s="55" t="s">
        <v>5</v>
      </c>
      <c r="H10" s="110" t="s">
        <v>5</v>
      </c>
      <c r="I10" s="5" t="s">
        <v>5</v>
      </c>
      <c r="J10" s="55" t="s">
        <v>5</v>
      </c>
      <c r="K10" s="5" t="s">
        <v>5</v>
      </c>
      <c r="L10" s="55" t="s">
        <v>5</v>
      </c>
    </row>
    <row r="11" spans="2:12" ht="14.25">
      <c r="B11" s="257"/>
      <c r="C11" s="225"/>
      <c r="D11" s="19"/>
      <c r="E11" s="19"/>
      <c r="F11" s="19"/>
      <c r="G11" s="79"/>
      <c r="H11" s="225"/>
      <c r="I11" s="19"/>
      <c r="J11" s="79"/>
      <c r="K11" s="19"/>
      <c r="L11" s="79"/>
    </row>
    <row r="12" spans="2:12" ht="14.25">
      <c r="B12" s="253" t="s">
        <v>187</v>
      </c>
      <c r="C12" s="113"/>
      <c r="D12" s="7"/>
      <c r="E12" s="7"/>
      <c r="F12" s="7"/>
      <c r="G12" s="57"/>
      <c r="H12" s="113"/>
      <c r="I12" s="7"/>
      <c r="J12" s="57"/>
      <c r="K12" s="7"/>
      <c r="L12" s="57"/>
    </row>
    <row r="13" spans="2:12" ht="14.25">
      <c r="B13" s="253"/>
      <c r="C13" s="113"/>
      <c r="D13" s="7"/>
      <c r="E13" s="7"/>
      <c r="F13" s="7"/>
      <c r="G13" s="57"/>
      <c r="H13" s="113"/>
      <c r="I13" s="7"/>
      <c r="J13" s="57"/>
      <c r="K13" s="7"/>
      <c r="L13" s="57"/>
    </row>
    <row r="14" spans="2:12" ht="14.25">
      <c r="B14" s="137" t="s">
        <v>203</v>
      </c>
      <c r="C14" s="113"/>
      <c r="D14" s="7"/>
      <c r="E14" s="7"/>
      <c r="F14" s="7"/>
      <c r="G14" s="57"/>
      <c r="H14" s="113"/>
      <c r="I14" s="7"/>
      <c r="J14" s="57"/>
      <c r="K14" s="7"/>
      <c r="L14" s="57"/>
    </row>
    <row r="15" spans="2:12" ht="14.25">
      <c r="B15" s="135" t="s">
        <v>28</v>
      </c>
      <c r="C15" s="113">
        <f>5000+300+300</f>
        <v>5600</v>
      </c>
      <c r="D15" s="7">
        <v>6340</v>
      </c>
      <c r="E15" s="205">
        <v>6340</v>
      </c>
      <c r="F15" s="205">
        <v>6340</v>
      </c>
      <c r="G15" s="57">
        <f>F15-E15</f>
        <v>0</v>
      </c>
      <c r="H15" s="113">
        <f>5000+300</f>
        <v>5300</v>
      </c>
      <c r="I15" s="7">
        <f>5000+300</f>
        <v>5300</v>
      </c>
      <c r="J15" s="57">
        <f>I15-H15</f>
        <v>0</v>
      </c>
      <c r="K15" s="288">
        <f>5000+300</f>
        <v>5300</v>
      </c>
      <c r="L15" s="241">
        <f>5000+300</f>
        <v>5300</v>
      </c>
    </row>
    <row r="16" spans="2:12" ht="14.25">
      <c r="B16" s="135" t="s">
        <v>17</v>
      </c>
      <c r="C16" s="113">
        <f>3969-1000</f>
        <v>2969</v>
      </c>
      <c r="D16" s="7">
        <v>2969</v>
      </c>
      <c r="E16" s="205">
        <v>2969</v>
      </c>
      <c r="F16" s="205">
        <v>2969</v>
      </c>
      <c r="G16" s="57">
        <f>F16-E16</f>
        <v>0</v>
      </c>
      <c r="H16" s="113">
        <f>3969-1000</f>
        <v>2969</v>
      </c>
      <c r="I16" s="7">
        <f>3969-1000</f>
        <v>2969</v>
      </c>
      <c r="J16" s="57">
        <f>I16-H16</f>
        <v>0</v>
      </c>
      <c r="K16" s="288">
        <f>3969-1000</f>
        <v>2969</v>
      </c>
      <c r="L16" s="241">
        <f>3969-1000</f>
        <v>2969</v>
      </c>
    </row>
    <row r="17" spans="2:12" ht="14.25">
      <c r="B17" s="255" t="s">
        <v>202</v>
      </c>
      <c r="C17" s="66">
        <f aca="true" t="shared" si="0" ref="C17:L17">SUM(C12:C16)</f>
        <v>8569</v>
      </c>
      <c r="D17" s="8">
        <f t="shared" si="0"/>
        <v>9309</v>
      </c>
      <c r="E17" s="8">
        <f t="shared" si="0"/>
        <v>9309</v>
      </c>
      <c r="F17" s="8">
        <f t="shared" si="0"/>
        <v>9309</v>
      </c>
      <c r="G17" s="63">
        <f t="shared" si="0"/>
        <v>0</v>
      </c>
      <c r="H17" s="66">
        <f t="shared" si="0"/>
        <v>8269</v>
      </c>
      <c r="I17" s="16">
        <f>SUM(I12:I16)</f>
        <v>8269</v>
      </c>
      <c r="J17" s="63">
        <f t="shared" si="0"/>
        <v>0</v>
      </c>
      <c r="K17" s="16">
        <f t="shared" si="0"/>
        <v>8269</v>
      </c>
      <c r="L17" s="65">
        <f t="shared" si="0"/>
        <v>8269</v>
      </c>
    </row>
    <row r="18" spans="2:12" ht="14.25">
      <c r="B18" s="139"/>
      <c r="C18" s="123"/>
      <c r="D18" s="252"/>
      <c r="E18" s="252"/>
      <c r="F18" s="252"/>
      <c r="G18" s="261"/>
      <c r="H18" s="123"/>
      <c r="I18" s="252"/>
      <c r="J18" s="261"/>
      <c r="K18" s="42"/>
      <c r="L18" s="84"/>
    </row>
    <row r="19" spans="2:12" ht="14.25">
      <c r="B19" s="137" t="s">
        <v>204</v>
      </c>
      <c r="C19" s="62"/>
      <c r="D19" s="42"/>
      <c r="E19" s="42"/>
      <c r="F19" s="42"/>
      <c r="G19" s="84"/>
      <c r="H19" s="62"/>
      <c r="I19" s="42"/>
      <c r="J19" s="84"/>
      <c r="K19" s="42"/>
      <c r="L19" s="84"/>
    </row>
    <row r="20" spans="2:12" ht="14.25">
      <c r="B20" s="254" t="s">
        <v>86</v>
      </c>
      <c r="C20" s="113">
        <v>0</v>
      </c>
      <c r="D20" s="7">
        <v>4</v>
      </c>
      <c r="E20" s="205">
        <v>4</v>
      </c>
      <c r="F20" s="205">
        <v>4</v>
      </c>
      <c r="G20" s="57">
        <f>F20-E20</f>
        <v>0</v>
      </c>
      <c r="H20" s="113">
        <v>0</v>
      </c>
      <c r="I20" s="7">
        <v>0</v>
      </c>
      <c r="J20" s="57">
        <f>I20-H20</f>
        <v>0</v>
      </c>
      <c r="K20" s="7">
        <v>0</v>
      </c>
      <c r="L20" s="114">
        <v>0</v>
      </c>
    </row>
    <row r="21" spans="2:12" ht="14.25">
      <c r="B21" s="254" t="s">
        <v>87</v>
      </c>
      <c r="C21" s="113">
        <v>0</v>
      </c>
      <c r="D21" s="7">
        <v>50</v>
      </c>
      <c r="E21" s="205">
        <v>50</v>
      </c>
      <c r="F21" s="205">
        <v>50</v>
      </c>
      <c r="G21" s="57">
        <f>F21-E21</f>
        <v>0</v>
      </c>
      <c r="H21" s="113">
        <v>0</v>
      </c>
      <c r="I21" s="7">
        <v>0</v>
      </c>
      <c r="J21" s="57">
        <f>I21-H21</f>
        <v>0</v>
      </c>
      <c r="K21" s="7">
        <v>0</v>
      </c>
      <c r="L21" s="114">
        <v>0</v>
      </c>
    </row>
    <row r="22" spans="2:12" ht="14.25">
      <c r="B22" s="255" t="s">
        <v>205</v>
      </c>
      <c r="C22" s="66">
        <f aca="true" t="shared" si="1" ref="C22:L22">SUM(C20:C21)</f>
        <v>0</v>
      </c>
      <c r="D22" s="16">
        <f t="shared" si="1"/>
        <v>54</v>
      </c>
      <c r="E22" s="16">
        <f t="shared" si="1"/>
        <v>54</v>
      </c>
      <c r="F22" s="16">
        <f t="shared" si="1"/>
        <v>54</v>
      </c>
      <c r="G22" s="65">
        <f t="shared" si="1"/>
        <v>0</v>
      </c>
      <c r="H22" s="66">
        <f t="shared" si="1"/>
        <v>0</v>
      </c>
      <c r="I22" s="16">
        <f>SUM(I20:I21)</f>
        <v>0</v>
      </c>
      <c r="J22" s="65">
        <f t="shared" si="1"/>
        <v>0</v>
      </c>
      <c r="K22" s="16">
        <f t="shared" si="1"/>
        <v>0</v>
      </c>
      <c r="L22" s="65">
        <f t="shared" si="1"/>
        <v>0</v>
      </c>
    </row>
    <row r="23" spans="2:12" ht="14.25">
      <c r="B23" s="260"/>
      <c r="C23" s="222"/>
      <c r="D23" s="215"/>
      <c r="E23" s="215"/>
      <c r="F23" s="215"/>
      <c r="G23" s="216"/>
      <c r="H23" s="222"/>
      <c r="I23" s="215"/>
      <c r="J23" s="216"/>
      <c r="K23" s="215"/>
      <c r="L23" s="216"/>
    </row>
    <row r="24" spans="2:12" ht="15.75" thickBot="1">
      <c r="B24" s="256" t="s">
        <v>222</v>
      </c>
      <c r="C24" s="232">
        <f aca="true" t="shared" si="2" ref="C24:L24">C17+C22</f>
        <v>8569</v>
      </c>
      <c r="D24" s="213">
        <f>D17+D22</f>
        <v>9363</v>
      </c>
      <c r="E24" s="213">
        <f>E17+E22</f>
        <v>9363</v>
      </c>
      <c r="F24" s="213">
        <f t="shared" si="2"/>
        <v>9363</v>
      </c>
      <c r="G24" s="106">
        <f t="shared" si="2"/>
        <v>0</v>
      </c>
      <c r="H24" s="232">
        <f t="shared" si="2"/>
        <v>8269</v>
      </c>
      <c r="I24" s="213">
        <f>I17+I22</f>
        <v>8269</v>
      </c>
      <c r="J24" s="106">
        <f>J17+J22</f>
        <v>0</v>
      </c>
      <c r="K24" s="213">
        <f t="shared" si="2"/>
        <v>8269</v>
      </c>
      <c r="L24" s="106">
        <f t="shared" si="2"/>
        <v>8269</v>
      </c>
    </row>
    <row r="26" spans="1:12" ht="18">
      <c r="A26" s="310" t="s">
        <v>273</v>
      </c>
      <c r="B26" s="310"/>
      <c r="C26" s="310"/>
      <c r="D26" s="310"/>
      <c r="E26" s="310"/>
      <c r="F26" s="310"/>
      <c r="G26" s="310"/>
      <c r="H26" s="310"/>
      <c r="I26" s="310"/>
      <c r="J26" s="310"/>
      <c r="K26" s="310"/>
      <c r="L26" s="310"/>
    </row>
    <row r="27" spans="1:10" ht="18">
      <c r="A27" s="17"/>
      <c r="B27" s="18"/>
      <c r="C27" s="18"/>
      <c r="D27" s="18"/>
      <c r="E27" s="18"/>
      <c r="F27" s="18"/>
      <c r="G27" s="18"/>
      <c r="H27" s="18"/>
      <c r="I27" s="18"/>
      <c r="J27" s="18"/>
    </row>
    <row r="28" spans="1:11" ht="18">
      <c r="A28" s="310" t="s">
        <v>217</v>
      </c>
      <c r="B28" s="310"/>
      <c r="C28" s="310"/>
      <c r="D28" s="310"/>
      <c r="E28" s="310"/>
      <c r="F28" s="310"/>
      <c r="G28" s="310"/>
      <c r="H28" s="310"/>
      <c r="I28" s="310"/>
      <c r="J28" s="310"/>
      <c r="K28" s="310"/>
    </row>
    <row r="29" ht="15" thickBot="1"/>
    <row r="30" spans="2:12" ht="14.25">
      <c r="B30" s="126"/>
      <c r="C30" s="283" t="s">
        <v>2</v>
      </c>
      <c r="D30" s="283" t="s">
        <v>2</v>
      </c>
      <c r="E30" s="284" t="s">
        <v>2</v>
      </c>
      <c r="F30" s="284" t="s">
        <v>2</v>
      </c>
      <c r="G30" s="285" t="s">
        <v>2</v>
      </c>
      <c r="H30" s="283" t="s">
        <v>37</v>
      </c>
      <c r="I30" s="284" t="s">
        <v>37</v>
      </c>
      <c r="J30" s="285" t="s">
        <v>37</v>
      </c>
      <c r="K30" s="284" t="s">
        <v>63</v>
      </c>
      <c r="L30" s="285" t="s">
        <v>226</v>
      </c>
    </row>
    <row r="31" spans="2:12" ht="14.25">
      <c r="B31" s="127"/>
      <c r="C31" s="109" t="s">
        <v>288</v>
      </c>
      <c r="D31" s="109" t="s">
        <v>42</v>
      </c>
      <c r="E31" s="19" t="s">
        <v>289</v>
      </c>
      <c r="F31" s="4" t="s">
        <v>293</v>
      </c>
      <c r="G31" s="53" t="s">
        <v>281</v>
      </c>
      <c r="H31" s="109" t="s">
        <v>174</v>
      </c>
      <c r="I31" s="4" t="s">
        <v>293</v>
      </c>
      <c r="J31" s="53" t="s">
        <v>281</v>
      </c>
      <c r="K31" s="4" t="s">
        <v>174</v>
      </c>
      <c r="L31" s="53" t="s">
        <v>174</v>
      </c>
    </row>
    <row r="32" spans="2:12" ht="14.25">
      <c r="B32" s="127" t="s">
        <v>3</v>
      </c>
      <c r="C32" s="109" t="s">
        <v>174</v>
      </c>
      <c r="D32" s="109" t="s">
        <v>174</v>
      </c>
      <c r="E32" s="4" t="s">
        <v>282</v>
      </c>
      <c r="F32" s="4" t="s">
        <v>279</v>
      </c>
      <c r="G32" s="53" t="s">
        <v>292</v>
      </c>
      <c r="H32" s="109" t="s">
        <v>175</v>
      </c>
      <c r="I32" s="4" t="s">
        <v>279</v>
      </c>
      <c r="J32" s="53" t="s">
        <v>292</v>
      </c>
      <c r="K32" s="4" t="s">
        <v>175</v>
      </c>
      <c r="L32" s="53" t="s">
        <v>175</v>
      </c>
    </row>
    <row r="33" spans="2:12" ht="14.25">
      <c r="B33" s="127"/>
      <c r="C33" s="109" t="s">
        <v>175</v>
      </c>
      <c r="D33" s="109" t="s">
        <v>175</v>
      </c>
      <c r="E33" s="4" t="s">
        <v>175</v>
      </c>
      <c r="F33" s="4" t="s">
        <v>280</v>
      </c>
      <c r="G33" s="53" t="s">
        <v>282</v>
      </c>
      <c r="H33" s="109" t="s">
        <v>291</v>
      </c>
      <c r="I33" s="4" t="s">
        <v>280</v>
      </c>
      <c r="J33" s="53" t="s">
        <v>282</v>
      </c>
      <c r="K33" s="4"/>
      <c r="L33" s="53"/>
    </row>
    <row r="34" spans="2:12" ht="14.25">
      <c r="B34" s="128"/>
      <c r="C34" s="110" t="s">
        <v>5</v>
      </c>
      <c r="D34" s="110" t="s">
        <v>5</v>
      </c>
      <c r="E34" s="5" t="s">
        <v>5</v>
      </c>
      <c r="F34" s="5" t="s">
        <v>5</v>
      </c>
      <c r="G34" s="55" t="s">
        <v>5</v>
      </c>
      <c r="H34" s="110" t="s">
        <v>5</v>
      </c>
      <c r="I34" s="5" t="s">
        <v>5</v>
      </c>
      <c r="J34" s="55" t="s">
        <v>5</v>
      </c>
      <c r="K34" s="5" t="s">
        <v>5</v>
      </c>
      <c r="L34" s="55" t="s">
        <v>5</v>
      </c>
    </row>
    <row r="35" spans="2:12" ht="14.25">
      <c r="B35" s="139"/>
      <c r="C35" s="115"/>
      <c r="D35" s="11"/>
      <c r="E35" s="11"/>
      <c r="F35" s="11"/>
      <c r="G35" s="59"/>
      <c r="H35" s="115"/>
      <c r="I35" s="11"/>
      <c r="J35" s="59"/>
      <c r="K35" s="11"/>
      <c r="L35" s="59"/>
    </row>
    <row r="36" spans="2:12" ht="14.25">
      <c r="B36" s="253" t="s">
        <v>187</v>
      </c>
      <c r="C36" s="113"/>
      <c r="D36" s="7"/>
      <c r="E36" s="7"/>
      <c r="F36" s="7"/>
      <c r="G36" s="57"/>
      <c r="H36" s="113"/>
      <c r="I36" s="7"/>
      <c r="J36" s="57"/>
      <c r="K36" s="7"/>
      <c r="L36" s="57"/>
    </row>
    <row r="37" spans="2:12" ht="14.25">
      <c r="B37" s="137"/>
      <c r="C37" s="113"/>
      <c r="D37" s="7"/>
      <c r="E37" s="7"/>
      <c r="F37" s="7"/>
      <c r="G37" s="57"/>
      <c r="H37" s="113"/>
      <c r="I37" s="7"/>
      <c r="J37" s="57"/>
      <c r="K37" s="7"/>
      <c r="L37" s="57"/>
    </row>
    <row r="38" spans="2:12" ht="14.25">
      <c r="B38" s="250" t="s">
        <v>95</v>
      </c>
      <c r="C38" s="113">
        <v>6500</v>
      </c>
      <c r="D38" s="7">
        <v>9955</v>
      </c>
      <c r="E38" s="205">
        <v>9955</v>
      </c>
      <c r="F38" s="205">
        <v>9955</v>
      </c>
      <c r="G38" s="57">
        <f>F38-E38</f>
        <v>0</v>
      </c>
      <c r="H38" s="113">
        <v>6500</v>
      </c>
      <c r="I38" s="7">
        <v>6500</v>
      </c>
      <c r="J38" s="57">
        <f>I38-H38</f>
        <v>0</v>
      </c>
      <c r="K38" s="288">
        <v>6500</v>
      </c>
      <c r="L38" s="83">
        <v>6500</v>
      </c>
    </row>
    <row r="39" spans="2:12" ht="14.25">
      <c r="B39" s="250" t="s">
        <v>183</v>
      </c>
      <c r="C39" s="113">
        <v>0</v>
      </c>
      <c r="D39" s="7">
        <v>0</v>
      </c>
      <c r="E39" s="205">
        <v>0</v>
      </c>
      <c r="F39" s="205">
        <v>0</v>
      </c>
      <c r="G39" s="57">
        <f>F39-E39</f>
        <v>0</v>
      </c>
      <c r="H39" s="113">
        <v>11900</v>
      </c>
      <c r="I39" s="7">
        <v>11900</v>
      </c>
      <c r="J39" s="57">
        <f>I39-H39</f>
        <v>0</v>
      </c>
      <c r="K39" s="288">
        <v>0</v>
      </c>
      <c r="L39" s="83">
        <v>0</v>
      </c>
    </row>
    <row r="40" spans="2:12" ht="14.25">
      <c r="B40" s="254"/>
      <c r="C40" s="113"/>
      <c r="D40" s="7"/>
      <c r="E40" s="7"/>
      <c r="F40" s="7"/>
      <c r="G40" s="57"/>
      <c r="H40" s="113"/>
      <c r="I40" s="7"/>
      <c r="J40" s="57"/>
      <c r="K40" s="7"/>
      <c r="L40" s="57"/>
    </row>
    <row r="41" spans="2:12" ht="14.25">
      <c r="B41" s="255" t="s">
        <v>202</v>
      </c>
      <c r="C41" s="66">
        <f aca="true" t="shared" si="3" ref="C41:L41">SUM(C36:C40)</f>
        <v>6500</v>
      </c>
      <c r="D41" s="8">
        <f t="shared" si="3"/>
        <v>9955</v>
      </c>
      <c r="E41" s="8">
        <f t="shared" si="3"/>
        <v>9955</v>
      </c>
      <c r="F41" s="8">
        <f t="shared" si="3"/>
        <v>9955</v>
      </c>
      <c r="G41" s="63">
        <f t="shared" si="3"/>
        <v>0</v>
      </c>
      <c r="H41" s="66">
        <f t="shared" si="3"/>
        <v>18400</v>
      </c>
      <c r="I41" s="16">
        <f t="shared" si="3"/>
        <v>18400</v>
      </c>
      <c r="J41" s="63">
        <f t="shared" si="3"/>
        <v>0</v>
      </c>
      <c r="K41" s="16">
        <f t="shared" si="3"/>
        <v>6500</v>
      </c>
      <c r="L41" s="65">
        <f t="shared" si="3"/>
        <v>6500</v>
      </c>
    </row>
    <row r="42" spans="2:12" ht="14.25">
      <c r="B42" s="255"/>
      <c r="C42" s="233"/>
      <c r="D42" s="207"/>
      <c r="E42" s="207"/>
      <c r="F42" s="207"/>
      <c r="G42" s="208"/>
      <c r="H42" s="233"/>
      <c r="I42" s="207"/>
      <c r="J42" s="208"/>
      <c r="K42" s="207"/>
      <c r="L42" s="208"/>
    </row>
    <row r="43" spans="2:12" ht="15.75" thickBot="1">
      <c r="B43" s="256" t="s">
        <v>202</v>
      </c>
      <c r="C43" s="234">
        <f aca="true" t="shared" si="4" ref="C43:K43">C41</f>
        <v>6500</v>
      </c>
      <c r="D43" s="210">
        <f>D41</f>
        <v>9955</v>
      </c>
      <c r="E43" s="210">
        <f>E41</f>
        <v>9955</v>
      </c>
      <c r="F43" s="210">
        <f t="shared" si="4"/>
        <v>9955</v>
      </c>
      <c r="G43" s="262">
        <f t="shared" si="4"/>
        <v>0</v>
      </c>
      <c r="H43" s="234">
        <f t="shared" si="4"/>
        <v>18400</v>
      </c>
      <c r="I43" s="214">
        <f>I41</f>
        <v>18400</v>
      </c>
      <c r="J43" s="262">
        <f>J41</f>
        <v>0</v>
      </c>
      <c r="K43" s="213">
        <f t="shared" si="4"/>
        <v>6500</v>
      </c>
      <c r="L43" s="106">
        <f>L41</f>
        <v>6500</v>
      </c>
    </row>
  </sheetData>
  <mergeCells count="4">
    <mergeCell ref="A4:K4"/>
    <mergeCell ref="A28:K28"/>
    <mergeCell ref="A2:L2"/>
    <mergeCell ref="A26:L26"/>
  </mergeCells>
  <printOptions horizontalCentered="1" verticalCentered="1"/>
  <pageMargins left="0.2" right="0.19" top="0.984251968503937" bottom="0.984251968503937" header="0.5118110236220472" footer="0.5118110236220472"/>
  <pageSetup firstPageNumber="175" useFirstPageNumber="1" horizontalDpi="600" verticalDpi="600" orientation="landscape" paperSize="9" scale="65" r:id="rId1"/>
  <headerFooter alignWithMargins="0">
    <oddHeader>&amp;R&amp;"Arial,Bold"Appendix 1</oddHeader>
    <oddFooter>&amp;L&amp;8&amp;D&amp;T&amp;Z&amp;F</oddFooter>
  </headerFooter>
  <rowBreaks count="1" manualBreakCount="1">
    <brk id="2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tabSelected="1" view="pageBreakPreview" zoomScale="75" zoomScaleNormal="70" zoomScaleSheetLayoutView="75" workbookViewId="0" topLeftCell="A7">
      <selection activeCell="B23" sqref="B23"/>
    </sheetView>
  </sheetViews>
  <sheetFormatPr defaultColWidth="9.140625" defaultRowHeight="12.75"/>
  <cols>
    <col min="1" max="1" width="5.7109375" style="1" customWidth="1"/>
    <col min="2" max="2" width="65.7109375" style="1" bestFit="1" customWidth="1"/>
    <col min="3" max="3" width="14.00390625" style="2" bestFit="1" customWidth="1"/>
    <col min="4" max="4" width="14.00390625" style="2" customWidth="1"/>
    <col min="5" max="5" width="14.00390625" style="2" bestFit="1" customWidth="1"/>
    <col min="6" max="6" width="11.7109375" style="2" bestFit="1" customWidth="1"/>
    <col min="7" max="7" width="13.57421875" style="2" bestFit="1" customWidth="1"/>
    <col min="8" max="8" width="14.00390625" style="1" bestFit="1" customWidth="1"/>
    <col min="9" max="10" width="14.00390625" style="1" customWidth="1"/>
    <col min="11" max="11" width="14.00390625" style="1" bestFit="1" customWidth="1"/>
    <col min="12" max="12" width="14.00390625" style="1" customWidth="1"/>
    <col min="13" max="16384" width="9.140625" style="1" customWidth="1"/>
  </cols>
  <sheetData>
    <row r="1" spans="1:12" ht="18">
      <c r="A1" s="310" t="s">
        <v>273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0" ht="18">
      <c r="A2" s="17"/>
      <c r="B2" s="18"/>
      <c r="C2" s="18"/>
      <c r="D2" s="18"/>
      <c r="E2" s="18"/>
      <c r="F2" s="18"/>
      <c r="G2" s="18"/>
      <c r="H2" s="18"/>
      <c r="I2" s="18"/>
      <c r="J2" s="18"/>
    </row>
    <row r="3" spans="1:11" ht="18">
      <c r="A3" s="310" t="s">
        <v>276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ht="15" thickBot="1"/>
    <row r="5" spans="2:12" ht="14.25">
      <c r="B5" s="126"/>
      <c r="C5" s="283" t="s">
        <v>2</v>
      </c>
      <c r="D5" s="283" t="s">
        <v>2</v>
      </c>
      <c r="E5" s="284" t="s">
        <v>2</v>
      </c>
      <c r="F5" s="284" t="s">
        <v>2</v>
      </c>
      <c r="G5" s="285" t="s">
        <v>2</v>
      </c>
      <c r="H5" s="283" t="s">
        <v>37</v>
      </c>
      <c r="I5" s="284" t="s">
        <v>37</v>
      </c>
      <c r="J5" s="285" t="s">
        <v>37</v>
      </c>
      <c r="K5" s="284" t="s">
        <v>63</v>
      </c>
      <c r="L5" s="285" t="s">
        <v>226</v>
      </c>
    </row>
    <row r="6" spans="2:12" ht="14.25">
      <c r="B6" s="127"/>
      <c r="C6" s="109" t="s">
        <v>288</v>
      </c>
      <c r="D6" s="109" t="s">
        <v>42</v>
      </c>
      <c r="E6" s="19" t="s">
        <v>289</v>
      </c>
      <c r="F6" s="4" t="s">
        <v>293</v>
      </c>
      <c r="G6" s="53" t="s">
        <v>281</v>
      </c>
      <c r="H6" s="109" t="s">
        <v>174</v>
      </c>
      <c r="I6" s="4" t="s">
        <v>293</v>
      </c>
      <c r="J6" s="53" t="s">
        <v>281</v>
      </c>
      <c r="K6" s="4" t="s">
        <v>174</v>
      </c>
      <c r="L6" s="53" t="s">
        <v>174</v>
      </c>
    </row>
    <row r="7" spans="2:12" ht="14.25">
      <c r="B7" s="127" t="s">
        <v>3</v>
      </c>
      <c r="C7" s="109" t="s">
        <v>174</v>
      </c>
      <c r="D7" s="109" t="s">
        <v>174</v>
      </c>
      <c r="E7" s="4" t="s">
        <v>282</v>
      </c>
      <c r="F7" s="4" t="s">
        <v>279</v>
      </c>
      <c r="G7" s="53" t="s">
        <v>292</v>
      </c>
      <c r="H7" s="109" t="s">
        <v>175</v>
      </c>
      <c r="I7" s="4" t="s">
        <v>279</v>
      </c>
      <c r="J7" s="53" t="s">
        <v>292</v>
      </c>
      <c r="K7" s="4" t="s">
        <v>175</v>
      </c>
      <c r="L7" s="53" t="s">
        <v>175</v>
      </c>
    </row>
    <row r="8" spans="2:12" ht="14.25">
      <c r="B8" s="127"/>
      <c r="C8" s="109" t="s">
        <v>175</v>
      </c>
      <c r="D8" s="109" t="s">
        <v>175</v>
      </c>
      <c r="E8" s="4" t="s">
        <v>175</v>
      </c>
      <c r="F8" s="4" t="s">
        <v>280</v>
      </c>
      <c r="G8" s="53" t="s">
        <v>282</v>
      </c>
      <c r="H8" s="109" t="s">
        <v>291</v>
      </c>
      <c r="I8" s="4" t="s">
        <v>280</v>
      </c>
      <c r="J8" s="53" t="s">
        <v>282</v>
      </c>
      <c r="K8" s="4"/>
      <c r="L8" s="53"/>
    </row>
    <row r="9" spans="2:12" ht="14.25">
      <c r="B9" s="128"/>
      <c r="C9" s="110" t="s">
        <v>5</v>
      </c>
      <c r="D9" s="110" t="s">
        <v>5</v>
      </c>
      <c r="E9" s="5" t="s">
        <v>5</v>
      </c>
      <c r="F9" s="5" t="s">
        <v>5</v>
      </c>
      <c r="G9" s="55" t="s">
        <v>5</v>
      </c>
      <c r="H9" s="110" t="s">
        <v>5</v>
      </c>
      <c r="I9" s="5" t="s">
        <v>5</v>
      </c>
      <c r="J9" s="55" t="s">
        <v>5</v>
      </c>
      <c r="K9" s="5" t="s">
        <v>5</v>
      </c>
      <c r="L9" s="55" t="s">
        <v>5</v>
      </c>
    </row>
    <row r="10" spans="2:12" ht="14.25">
      <c r="B10" s="257"/>
      <c r="C10" s="225"/>
      <c r="D10" s="19"/>
      <c r="E10" s="19"/>
      <c r="F10" s="19"/>
      <c r="G10" s="79"/>
      <c r="H10" s="225"/>
      <c r="I10" s="19"/>
      <c r="J10" s="79"/>
      <c r="K10" s="19"/>
      <c r="L10" s="79"/>
    </row>
    <row r="11" spans="2:12" ht="14.25">
      <c r="B11" s="253" t="s">
        <v>187</v>
      </c>
      <c r="C11" s="115"/>
      <c r="D11" s="11"/>
      <c r="E11" s="11"/>
      <c r="F11" s="11"/>
      <c r="G11" s="59"/>
      <c r="H11" s="115"/>
      <c r="I11" s="11"/>
      <c r="J11" s="59"/>
      <c r="K11" s="11"/>
      <c r="L11" s="59"/>
    </row>
    <row r="12" spans="2:12" ht="14.25">
      <c r="B12" s="137"/>
      <c r="C12" s="115"/>
      <c r="D12" s="11"/>
      <c r="E12" s="11"/>
      <c r="F12" s="11"/>
      <c r="G12" s="59"/>
      <c r="H12" s="115"/>
      <c r="I12" s="11"/>
      <c r="J12" s="59"/>
      <c r="K12" s="11"/>
      <c r="L12" s="59"/>
    </row>
    <row r="13" spans="2:12" ht="14.25">
      <c r="B13" s="137" t="s">
        <v>141</v>
      </c>
      <c r="C13" s="113"/>
      <c r="D13" s="7"/>
      <c r="E13" s="7"/>
      <c r="F13" s="7"/>
      <c r="G13" s="57"/>
      <c r="H13" s="113"/>
      <c r="I13" s="7"/>
      <c r="J13" s="57"/>
      <c r="K13" s="7"/>
      <c r="L13" s="57"/>
    </row>
    <row r="14" spans="2:12" ht="14.25">
      <c r="B14" s="135" t="s">
        <v>84</v>
      </c>
      <c r="C14" s="113">
        <v>0</v>
      </c>
      <c r="D14" s="7">
        <v>238</v>
      </c>
      <c r="E14" s="7">
        <v>238</v>
      </c>
      <c r="F14" s="7">
        <v>238</v>
      </c>
      <c r="G14" s="57">
        <f>F14-E14</f>
        <v>0</v>
      </c>
      <c r="H14" s="113">
        <v>0</v>
      </c>
      <c r="I14" s="7">
        <v>0</v>
      </c>
      <c r="J14" s="57">
        <f>I14-H14</f>
        <v>0</v>
      </c>
      <c r="K14" s="7">
        <v>0</v>
      </c>
      <c r="L14" s="57">
        <v>0</v>
      </c>
    </row>
    <row r="15" spans="2:12" ht="14.25">
      <c r="B15" s="254" t="s">
        <v>91</v>
      </c>
      <c r="C15" s="113">
        <v>0</v>
      </c>
      <c r="D15" s="7">
        <v>125</v>
      </c>
      <c r="E15" s="7">
        <v>124</v>
      </c>
      <c r="F15" s="7">
        <v>124</v>
      </c>
      <c r="G15" s="57">
        <f aca="true" t="shared" si="0" ref="G15:G23">F15-E15</f>
        <v>0</v>
      </c>
      <c r="H15" s="113">
        <v>0</v>
      </c>
      <c r="I15" s="7">
        <v>0</v>
      </c>
      <c r="J15" s="57">
        <f aca="true" t="shared" si="1" ref="J15:J23">I15-H15</f>
        <v>0</v>
      </c>
      <c r="K15" s="7">
        <v>0</v>
      </c>
      <c r="L15" s="57">
        <v>0</v>
      </c>
    </row>
    <row r="16" spans="2:12" ht="14.25">
      <c r="B16" s="254" t="s">
        <v>92</v>
      </c>
      <c r="C16" s="113">
        <v>0</v>
      </c>
      <c r="D16" s="7">
        <v>85</v>
      </c>
      <c r="E16" s="7">
        <v>85</v>
      </c>
      <c r="F16" s="7">
        <v>85</v>
      </c>
      <c r="G16" s="57">
        <f t="shared" si="0"/>
        <v>0</v>
      </c>
      <c r="H16" s="113">
        <v>0</v>
      </c>
      <c r="I16" s="7">
        <v>0</v>
      </c>
      <c r="J16" s="57">
        <f t="shared" si="1"/>
        <v>0</v>
      </c>
      <c r="K16" s="7">
        <v>0</v>
      </c>
      <c r="L16" s="57">
        <v>0</v>
      </c>
    </row>
    <row r="17" spans="2:12" ht="14.25">
      <c r="B17" s="254" t="s">
        <v>93</v>
      </c>
      <c r="C17" s="113">
        <v>0</v>
      </c>
      <c r="D17" s="7">
        <v>35</v>
      </c>
      <c r="E17" s="7">
        <v>35</v>
      </c>
      <c r="F17" s="7">
        <v>35</v>
      </c>
      <c r="G17" s="57">
        <f t="shared" si="0"/>
        <v>0</v>
      </c>
      <c r="H17" s="113">
        <v>0</v>
      </c>
      <c r="I17" s="7">
        <v>0</v>
      </c>
      <c r="J17" s="57">
        <f t="shared" si="1"/>
        <v>0</v>
      </c>
      <c r="K17" s="7">
        <v>0</v>
      </c>
      <c r="L17" s="57">
        <v>0</v>
      </c>
    </row>
    <row r="18" spans="2:12" ht="14.25">
      <c r="B18" s="254" t="s">
        <v>94</v>
      </c>
      <c r="C18" s="113">
        <v>225</v>
      </c>
      <c r="D18" s="7">
        <v>325</v>
      </c>
      <c r="E18" s="7">
        <v>325</v>
      </c>
      <c r="F18" s="7">
        <v>325</v>
      </c>
      <c r="G18" s="57">
        <f t="shared" si="0"/>
        <v>0</v>
      </c>
      <c r="H18" s="113">
        <v>425</v>
      </c>
      <c r="I18" s="7">
        <v>425</v>
      </c>
      <c r="J18" s="57">
        <f t="shared" si="1"/>
        <v>0</v>
      </c>
      <c r="K18" s="7">
        <v>0</v>
      </c>
      <c r="L18" s="57">
        <v>0</v>
      </c>
    </row>
    <row r="19" spans="2:12" ht="14.25">
      <c r="B19" s="254" t="s">
        <v>143</v>
      </c>
      <c r="C19" s="113">
        <v>0</v>
      </c>
      <c r="D19" s="7">
        <v>40</v>
      </c>
      <c r="E19" s="7">
        <v>40</v>
      </c>
      <c r="F19" s="7">
        <v>40</v>
      </c>
      <c r="G19" s="57">
        <f t="shared" si="0"/>
        <v>0</v>
      </c>
      <c r="H19" s="113">
        <v>0</v>
      </c>
      <c r="I19" s="7">
        <v>0</v>
      </c>
      <c r="J19" s="57">
        <f t="shared" si="1"/>
        <v>0</v>
      </c>
      <c r="K19" s="7">
        <v>0</v>
      </c>
      <c r="L19" s="57">
        <v>0</v>
      </c>
    </row>
    <row r="20" spans="2:12" ht="14.25">
      <c r="B20" s="254" t="s">
        <v>85</v>
      </c>
      <c r="C20" s="113">
        <v>0</v>
      </c>
      <c r="D20" s="7">
        <v>70</v>
      </c>
      <c r="E20" s="7">
        <v>70</v>
      </c>
      <c r="F20" s="7">
        <v>70</v>
      </c>
      <c r="G20" s="57">
        <f t="shared" si="0"/>
        <v>0</v>
      </c>
      <c r="H20" s="113">
        <v>0</v>
      </c>
      <c r="I20" s="7">
        <v>0</v>
      </c>
      <c r="J20" s="57">
        <f t="shared" si="1"/>
        <v>0</v>
      </c>
      <c r="K20" s="7">
        <v>0</v>
      </c>
      <c r="L20" s="57">
        <v>0</v>
      </c>
    </row>
    <row r="21" spans="2:12" ht="14.25">
      <c r="B21" s="258" t="s">
        <v>224</v>
      </c>
      <c r="C21" s="115">
        <v>0</v>
      </c>
      <c r="D21" s="11">
        <v>150</v>
      </c>
      <c r="E21" s="11">
        <v>150</v>
      </c>
      <c r="F21" s="11">
        <v>150</v>
      </c>
      <c r="G21" s="57">
        <f t="shared" si="0"/>
        <v>0</v>
      </c>
      <c r="H21" s="115">
        <v>0</v>
      </c>
      <c r="I21" s="11">
        <v>0</v>
      </c>
      <c r="J21" s="57">
        <f t="shared" si="1"/>
        <v>0</v>
      </c>
      <c r="K21" s="11">
        <v>0</v>
      </c>
      <c r="L21" s="59">
        <v>0</v>
      </c>
    </row>
    <row r="22" spans="2:12" ht="14.25">
      <c r="B22" s="135" t="s">
        <v>46</v>
      </c>
      <c r="C22" s="113">
        <v>1000</v>
      </c>
      <c r="D22" s="7">
        <v>2000</v>
      </c>
      <c r="E22" s="7">
        <v>2000</v>
      </c>
      <c r="F22" s="11">
        <v>0</v>
      </c>
      <c r="G22" s="59">
        <f t="shared" si="0"/>
        <v>-2000</v>
      </c>
      <c r="H22" s="113">
        <v>1000</v>
      </c>
      <c r="I22" s="7">
        <v>1000</v>
      </c>
      <c r="J22" s="57">
        <f t="shared" si="1"/>
        <v>0</v>
      </c>
      <c r="K22" s="7">
        <v>1000</v>
      </c>
      <c r="L22" s="114">
        <v>1000</v>
      </c>
    </row>
    <row r="23" spans="2:12" ht="14.25">
      <c r="B23" s="130" t="s">
        <v>296</v>
      </c>
      <c r="C23" s="229">
        <v>0</v>
      </c>
      <c r="D23" s="205">
        <v>0</v>
      </c>
      <c r="E23" s="205">
        <v>0</v>
      </c>
      <c r="F23" s="205">
        <v>295</v>
      </c>
      <c r="G23" s="59">
        <f t="shared" si="0"/>
        <v>295</v>
      </c>
      <c r="H23" s="229">
        <v>0</v>
      </c>
      <c r="I23" s="205">
        <v>0</v>
      </c>
      <c r="J23" s="59">
        <f t="shared" si="1"/>
        <v>0</v>
      </c>
      <c r="K23" s="205">
        <v>0</v>
      </c>
      <c r="L23" s="206">
        <v>0</v>
      </c>
    </row>
    <row r="24" spans="2:12" ht="14.25">
      <c r="B24" s="259" t="s">
        <v>142</v>
      </c>
      <c r="C24" s="113"/>
      <c r="D24" s="7"/>
      <c r="E24" s="7"/>
      <c r="F24" s="11"/>
      <c r="G24" s="59"/>
      <c r="H24" s="113"/>
      <c r="I24" s="7"/>
      <c r="J24" s="59"/>
      <c r="K24" s="7"/>
      <c r="L24" s="57"/>
    </row>
    <row r="25" spans="2:12" ht="14.25">
      <c r="B25" s="135" t="s">
        <v>83</v>
      </c>
      <c r="C25" s="113">
        <v>0</v>
      </c>
      <c r="D25" s="7">
        <v>87</v>
      </c>
      <c r="E25" s="7">
        <v>87</v>
      </c>
      <c r="F25" s="11">
        <v>87</v>
      </c>
      <c r="G25" s="59">
        <f aca="true" t="shared" si="2" ref="G25:G32">F25-E25</f>
        <v>0</v>
      </c>
      <c r="H25" s="113">
        <v>0</v>
      </c>
      <c r="I25" s="7">
        <v>0</v>
      </c>
      <c r="J25" s="59">
        <f aca="true" t="shared" si="3" ref="J25:J32">I25-H25</f>
        <v>0</v>
      </c>
      <c r="K25" s="7">
        <v>0</v>
      </c>
      <c r="L25" s="57">
        <v>0</v>
      </c>
    </row>
    <row r="26" spans="2:12" ht="14.25">
      <c r="B26" s="135" t="s">
        <v>79</v>
      </c>
      <c r="C26" s="113">
        <v>100</v>
      </c>
      <c r="D26" s="7">
        <v>232</v>
      </c>
      <c r="E26" s="7">
        <v>232</v>
      </c>
      <c r="F26" s="11">
        <v>232</v>
      </c>
      <c r="G26" s="59">
        <f t="shared" si="2"/>
        <v>0</v>
      </c>
      <c r="H26" s="113">
        <v>0</v>
      </c>
      <c r="I26" s="7">
        <v>0</v>
      </c>
      <c r="J26" s="59">
        <f t="shared" si="3"/>
        <v>0</v>
      </c>
      <c r="K26" s="7">
        <v>100</v>
      </c>
      <c r="L26" s="57">
        <v>100</v>
      </c>
    </row>
    <row r="27" spans="2:12" ht="14.25">
      <c r="B27" s="135" t="s">
        <v>189</v>
      </c>
      <c r="C27" s="113">
        <v>0</v>
      </c>
      <c r="D27" s="7">
        <v>44</v>
      </c>
      <c r="E27" s="7">
        <v>44</v>
      </c>
      <c r="F27" s="11">
        <v>44</v>
      </c>
      <c r="G27" s="59">
        <f t="shared" si="2"/>
        <v>0</v>
      </c>
      <c r="H27" s="113">
        <v>0</v>
      </c>
      <c r="I27" s="7">
        <v>0</v>
      </c>
      <c r="J27" s="59">
        <f t="shared" si="3"/>
        <v>0</v>
      </c>
      <c r="K27" s="7">
        <v>0</v>
      </c>
      <c r="L27" s="57">
        <v>0</v>
      </c>
    </row>
    <row r="28" spans="2:12" ht="14.25">
      <c r="B28" s="135" t="s">
        <v>90</v>
      </c>
      <c r="C28" s="113">
        <v>0</v>
      </c>
      <c r="D28" s="7">
        <v>41</v>
      </c>
      <c r="E28" s="7">
        <v>41</v>
      </c>
      <c r="F28" s="11">
        <v>41</v>
      </c>
      <c r="G28" s="59">
        <f t="shared" si="2"/>
        <v>0</v>
      </c>
      <c r="H28" s="113">
        <v>0</v>
      </c>
      <c r="I28" s="7">
        <v>0</v>
      </c>
      <c r="J28" s="59">
        <f t="shared" si="3"/>
        <v>0</v>
      </c>
      <c r="K28" s="7">
        <v>0</v>
      </c>
      <c r="L28" s="57">
        <v>0</v>
      </c>
    </row>
    <row r="29" spans="2:12" ht="14.25">
      <c r="B29" s="258" t="s">
        <v>88</v>
      </c>
      <c r="C29" s="299">
        <f>400</f>
        <v>400</v>
      </c>
      <c r="D29" s="7">
        <v>445</v>
      </c>
      <c r="E29" s="300">
        <v>446</v>
      </c>
      <c r="F29" s="85">
        <v>446</v>
      </c>
      <c r="G29" s="59">
        <f t="shared" si="2"/>
        <v>0</v>
      </c>
      <c r="H29" s="113">
        <f>399+1</f>
        <v>400</v>
      </c>
      <c r="I29" s="7">
        <f>399+1</f>
        <v>400</v>
      </c>
      <c r="J29" s="59">
        <f t="shared" si="3"/>
        <v>0</v>
      </c>
      <c r="K29" s="7">
        <v>400</v>
      </c>
      <c r="L29" s="57">
        <v>400</v>
      </c>
    </row>
    <row r="30" spans="2:12" ht="14.25">
      <c r="B30" s="135" t="s">
        <v>89</v>
      </c>
      <c r="C30" s="113">
        <v>30</v>
      </c>
      <c r="D30" s="7">
        <v>-30</v>
      </c>
      <c r="E30" s="7">
        <v>-30</v>
      </c>
      <c r="F30" s="11">
        <v>-30</v>
      </c>
      <c r="G30" s="59">
        <f t="shared" si="2"/>
        <v>0</v>
      </c>
      <c r="H30" s="113">
        <v>0</v>
      </c>
      <c r="I30" s="7">
        <v>0</v>
      </c>
      <c r="J30" s="59">
        <f t="shared" si="3"/>
        <v>0</v>
      </c>
      <c r="K30" s="7">
        <v>30</v>
      </c>
      <c r="L30" s="57">
        <v>30</v>
      </c>
    </row>
    <row r="31" spans="2:12" ht="14.25">
      <c r="B31" s="135" t="s">
        <v>62</v>
      </c>
      <c r="C31" s="113">
        <v>80</v>
      </c>
      <c r="D31" s="300">
        <v>160</v>
      </c>
      <c r="E31" s="7">
        <v>160</v>
      </c>
      <c r="F31" s="11">
        <v>160</v>
      </c>
      <c r="G31" s="59">
        <f t="shared" si="2"/>
        <v>0</v>
      </c>
      <c r="H31" s="113">
        <v>80</v>
      </c>
      <c r="I31" s="7">
        <v>80</v>
      </c>
      <c r="J31" s="59">
        <f t="shared" si="3"/>
        <v>0</v>
      </c>
      <c r="K31" s="7">
        <v>80</v>
      </c>
      <c r="L31" s="57">
        <v>80</v>
      </c>
    </row>
    <row r="32" spans="2:12" ht="14.25">
      <c r="B32" s="135" t="s">
        <v>228</v>
      </c>
      <c r="C32" s="115">
        <f>150+1000</f>
        <v>1150</v>
      </c>
      <c r="D32" s="7">
        <v>1324</v>
      </c>
      <c r="E32" s="11">
        <v>1324</v>
      </c>
      <c r="F32" s="11">
        <v>1324</v>
      </c>
      <c r="G32" s="59">
        <f t="shared" si="2"/>
        <v>0</v>
      </c>
      <c r="H32" s="115">
        <f>150+1000</f>
        <v>1150</v>
      </c>
      <c r="I32" s="11">
        <f>150+1000</f>
        <v>1150</v>
      </c>
      <c r="J32" s="59">
        <f t="shared" si="3"/>
        <v>0</v>
      </c>
      <c r="K32" s="11">
        <f>150+100+100+1000</f>
        <v>1350</v>
      </c>
      <c r="L32" s="59">
        <f>150+1000</f>
        <v>1150</v>
      </c>
    </row>
    <row r="33" spans="2:12" ht="14.25">
      <c r="B33" s="137" t="s">
        <v>284</v>
      </c>
      <c r="C33" s="113"/>
      <c r="D33" s="7"/>
      <c r="E33" s="7"/>
      <c r="F33" s="11"/>
      <c r="G33" s="59"/>
      <c r="H33" s="113"/>
      <c r="I33" s="7"/>
      <c r="J33" s="59"/>
      <c r="K33" s="7"/>
      <c r="L33" s="57"/>
    </row>
    <row r="34" spans="2:12" ht="14.25">
      <c r="B34" s="61" t="s">
        <v>66</v>
      </c>
      <c r="C34" s="113">
        <v>300</v>
      </c>
      <c r="D34" s="11">
        <v>810</v>
      </c>
      <c r="E34" s="7">
        <v>722</v>
      </c>
      <c r="F34" s="11">
        <f>722-50-128-30</f>
        <v>514</v>
      </c>
      <c r="G34" s="59">
        <f>F34-E34</f>
        <v>-208</v>
      </c>
      <c r="H34" s="113">
        <v>300</v>
      </c>
      <c r="I34" s="7">
        <v>300</v>
      </c>
      <c r="J34" s="59">
        <f>I34-H34</f>
        <v>0</v>
      </c>
      <c r="K34" s="7">
        <v>300</v>
      </c>
      <c r="L34" s="57">
        <v>300</v>
      </c>
    </row>
    <row r="35" spans="2:12" ht="14.25">
      <c r="B35" s="61" t="s">
        <v>67</v>
      </c>
      <c r="C35" s="113">
        <v>0</v>
      </c>
      <c r="D35" s="7">
        <v>140</v>
      </c>
      <c r="E35" s="7">
        <v>140</v>
      </c>
      <c r="F35" s="7">
        <v>140</v>
      </c>
      <c r="G35" s="57">
        <f>F35-E35</f>
        <v>0</v>
      </c>
      <c r="H35" s="113">
        <v>0</v>
      </c>
      <c r="I35" s="7">
        <v>0</v>
      </c>
      <c r="J35" s="57">
        <f>I35-H35</f>
        <v>0</v>
      </c>
      <c r="K35" s="7">
        <v>0</v>
      </c>
      <c r="L35" s="57">
        <v>0</v>
      </c>
    </row>
    <row r="36" spans="2:12" ht="14.25">
      <c r="B36" s="61" t="s">
        <v>68</v>
      </c>
      <c r="C36" s="113">
        <v>0</v>
      </c>
      <c r="D36" s="7">
        <v>42</v>
      </c>
      <c r="E36" s="7">
        <v>42</v>
      </c>
      <c r="F36" s="7">
        <v>42</v>
      </c>
      <c r="G36" s="57">
        <f>F36-E36</f>
        <v>0</v>
      </c>
      <c r="H36" s="113">
        <v>0</v>
      </c>
      <c r="I36" s="7">
        <v>0</v>
      </c>
      <c r="J36" s="57">
        <f>I36-H36</f>
        <v>0</v>
      </c>
      <c r="K36" s="7">
        <v>0</v>
      </c>
      <c r="L36" s="57">
        <v>0</v>
      </c>
    </row>
    <row r="37" spans="2:12" ht="14.25">
      <c r="B37" s="61" t="s">
        <v>69</v>
      </c>
      <c r="C37" s="113">
        <v>0</v>
      </c>
      <c r="D37" s="7">
        <v>250</v>
      </c>
      <c r="E37" s="7">
        <v>250</v>
      </c>
      <c r="F37" s="7">
        <v>250</v>
      </c>
      <c r="G37" s="57">
        <f>F37-E37</f>
        <v>0</v>
      </c>
      <c r="H37" s="113">
        <v>0</v>
      </c>
      <c r="I37" s="7">
        <v>0</v>
      </c>
      <c r="J37" s="57">
        <f>I37-H37</f>
        <v>0</v>
      </c>
      <c r="K37" s="7">
        <v>0</v>
      </c>
      <c r="L37" s="57">
        <v>0</v>
      </c>
    </row>
    <row r="38" spans="2:12" ht="14.25">
      <c r="B38" s="260"/>
      <c r="C38" s="222"/>
      <c r="D38" s="215"/>
      <c r="E38" s="215"/>
      <c r="F38" s="215"/>
      <c r="G38" s="216"/>
      <c r="H38" s="222"/>
      <c r="I38" s="215"/>
      <c r="J38" s="216"/>
      <c r="K38" s="215"/>
      <c r="L38" s="216"/>
    </row>
    <row r="39" spans="2:12" ht="15.75" thickBot="1">
      <c r="B39" s="256" t="s">
        <v>206</v>
      </c>
      <c r="C39" s="232">
        <f aca="true" t="shared" si="4" ref="C39:L39">SUM(C14:C37)</f>
        <v>3285</v>
      </c>
      <c r="D39" s="213">
        <f t="shared" si="4"/>
        <v>6613</v>
      </c>
      <c r="E39" s="213">
        <f t="shared" si="4"/>
        <v>6525</v>
      </c>
      <c r="F39" s="213">
        <f t="shared" si="4"/>
        <v>4612</v>
      </c>
      <c r="G39" s="106">
        <f t="shared" si="4"/>
        <v>-1913</v>
      </c>
      <c r="H39" s="232">
        <f t="shared" si="4"/>
        <v>3355</v>
      </c>
      <c r="I39" s="213">
        <f>SUM(I14:I37)</f>
        <v>3355</v>
      </c>
      <c r="J39" s="106">
        <f>SUM(J14:J37)</f>
        <v>0</v>
      </c>
      <c r="K39" s="213">
        <f t="shared" si="4"/>
        <v>3260</v>
      </c>
      <c r="L39" s="106">
        <f t="shared" si="4"/>
        <v>3060</v>
      </c>
    </row>
    <row r="41" spans="1:2" ht="14.25">
      <c r="A41" s="92"/>
      <c r="B41" s="87"/>
    </row>
    <row r="42" spans="1:2" ht="14.25">
      <c r="A42" s="92"/>
      <c r="B42" s="235"/>
    </row>
    <row r="43" spans="1:2" ht="14.25">
      <c r="A43" s="92"/>
      <c r="B43" s="88"/>
    </row>
  </sheetData>
  <mergeCells count="2">
    <mergeCell ref="A3:K3"/>
    <mergeCell ref="A1:L1"/>
  </mergeCells>
  <printOptions horizontalCentered="1" verticalCentered="1"/>
  <pageMargins left="0.18" right="0.18" top="0.5118110236220472" bottom="0.7480314960629921" header="0.5118110236220472" footer="0.5118110236220472"/>
  <pageSetup horizontalDpi="600" verticalDpi="600" orientation="landscape" paperSize="9" scale="56" r:id="rId1"/>
  <headerFooter alignWithMargins="0">
    <oddHeader>&amp;R&amp;"Arial,Bold"Appendix 1</oddHeader>
    <oddFooter>&amp;L&amp;8&amp;D&amp;T&amp;Z&amp;F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Brent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London Borough of Brent</dc:creator>
  <cp:keywords/>
  <dc:description/>
  <cp:lastModifiedBy>mayp</cp:lastModifiedBy>
  <cp:lastPrinted>2006-10-24T10:49:21Z</cp:lastPrinted>
  <dcterms:created xsi:type="dcterms:W3CDTF">2003-06-30T16:20:07Z</dcterms:created>
  <dcterms:modified xsi:type="dcterms:W3CDTF">2006-10-24T11:05:02Z</dcterms:modified>
  <cp:category/>
  <cp:version/>
  <cp:contentType/>
  <cp:contentStatus/>
</cp:coreProperties>
</file>