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9720" windowHeight="5970" tabRatio="615" firstSheet="1" activeTab="1"/>
  </bookViews>
  <sheets>
    <sheet name="Title" sheetId="1" state="hidden" r:id="rId1"/>
    <sheet name="CTB Form" sheetId="2" r:id="rId2"/>
    <sheet name="CTB Supplementary Form" sheetId="3" state="hidden" r:id="rId3"/>
    <sheet name="Validation" sheetId="4" state="hidden" r:id="rId4"/>
    <sheet name="Parameters" sheetId="5" state="hidden" r:id="rId5"/>
    <sheet name="Data" sheetId="6" state="hidden" r:id="rId6"/>
  </sheets>
  <externalReferences>
    <externalReference r:id="rId9"/>
  </externalReferences>
  <definedNames>
    <definedName name="CONTACT">'CTB Form'!$E$167:$I$167</definedName>
    <definedName name="CTB">'CTB Form'!$E$144:$F$162</definedName>
    <definedName name="CTB1__November_2002__Calculation_of_Council_Tax_Base_for_Revenue_Support_Grant_Purposes_for_2003_04">#REF!</definedName>
    <definedName name="CTBs">'CTB Form'!$E$182:$E$189</definedName>
    <definedName name="datar">'Data'!$A$9:$C$363</definedName>
    <definedName name="detruse" localSheetId="1">'CTB Form'!$E$137:$ES$137</definedName>
    <definedName name="detruse">#REF!</definedName>
    <definedName name="LAcodes">'Data'!$C$9:$C$363</definedName>
    <definedName name="LAlist">'Data'!$B$9:$B$363</definedName>
    <definedName name="_xlnm.Print_Area" localSheetId="1">'CTB Form'!$A$16:$N$80</definedName>
    <definedName name="_xlnm.Print_Area" localSheetId="2">'CTB Supplementary Form'!$A$1:$G$295</definedName>
    <definedName name="_xlnm.Print_Area" localSheetId="4">'Parameters'!$A$1:$K$26</definedName>
    <definedName name="_xlnm.Print_Area" localSheetId="0">'Title'!$A$1:$D$58</definedName>
    <definedName name="_xlnm.Print_Area" localSheetId="3">'Validation'!$A$1:$P$197</definedName>
    <definedName name="_xlnm.Print_Titles" localSheetId="1">'CTB Form'!$1:$9</definedName>
    <definedName name="_xlnm.Print_Titles" localSheetId="5">'Data'!$B:$B,'Data'!$2:$7</definedName>
    <definedName name="Table">'Data'!$A$9:$C$363</definedName>
    <definedName name="table1">'Data'!$A$9:$C$362</definedName>
    <definedName name="Table2">'[1]DATA'!$A$8:$C$362</definedName>
    <definedName name="zzz">'Data'!$A$9:$C$362</definedName>
  </definedNames>
  <calcPr fullCalcOnLoad="1"/>
</workbook>
</file>

<file path=xl/comments4.xml><?xml version="1.0" encoding="utf-8"?>
<comments xmlns="http://schemas.openxmlformats.org/spreadsheetml/2006/main">
  <authors>
    <author>D KELLY</author>
  </authors>
  <commentList>
    <comment ref="L92" authorId="0">
      <text>
        <r>
          <rPr>
            <b/>
            <sz val="14"/>
            <rFont val="Tahoma"/>
            <family val="2"/>
          </rPr>
          <t>Is there too much allowance: i.e. if line 89 is smaller than 20 then no action however large line 88 is.</t>
        </r>
      </text>
    </comment>
  </commentList>
</comments>
</file>

<file path=xl/sharedStrings.xml><?xml version="1.0" encoding="utf-8"?>
<sst xmlns="http://schemas.openxmlformats.org/spreadsheetml/2006/main" count="3461" uniqueCount="1114">
  <si>
    <t>14. Number of dwellings in line 7 classed as long-term empty and receiving zero% discount on 8 October 2007</t>
  </si>
  <si>
    <t>15. Number of dwellings in line 7 classed as long-term empty and receiving between zero% and 50% discount on 8 October 2007. Please enter % discount here (please see notes):</t>
  </si>
  <si>
    <t>accurately reflects information available to me about exemptions, demolished dwellings etc, disabled relief and discounts applicable on 8 October 2007.</t>
  </si>
  <si>
    <t>3. Number of demolished dwellings and dwellings outside area of authority on 8 October 2007 (please see notes)</t>
  </si>
  <si>
    <t>I certify that the information provided on this form is based on the dwellings shown in the Valuation List for my authority on 17 September 2007 and that it</t>
  </si>
  <si>
    <t>For Band E, a new halls of residence has come in to rating, with 96 band E properties. For Band F there has been an increase in uninhabitable, probate and student exemptions. There has been a large increase in student exemptions across most bands.</t>
  </si>
  <si>
    <t>PART 1 - NUMBER OF DWELLINGS ON THE VALUATION LIST ON 17 SEPTEMBER 2007 THAT WERE IN EXEMPT CLASSES A to W
ON 8 OCTOBER 2007</t>
  </si>
  <si>
    <t>21. Patients in homes</t>
  </si>
  <si>
    <r>
      <t xml:space="preserve">Line 2 of CTB(October 2007) asks for the number of dwellings on the valuation list that were exempt on 8 October 2007.  Please provide a split of these figures between each of the exempt classes A to W in the table below. </t>
    </r>
    <r>
      <rPr>
        <b/>
        <sz val="12"/>
        <rFont val="Arial"/>
        <family val="2"/>
      </rPr>
      <t>NB T</t>
    </r>
    <r>
      <rPr>
        <sz val="12"/>
        <rFont val="Arial"/>
        <family val="2"/>
      </rPr>
      <t>he total figure below should be equal to the total figure in line 2 of the CTB(October 2007).</t>
    </r>
  </si>
  <si>
    <r>
      <t>NB</t>
    </r>
    <r>
      <rPr>
        <u val="single"/>
        <sz val="12"/>
        <rFont val="Arial"/>
        <family val="2"/>
      </rPr>
      <t xml:space="preserve"> The total figure should be equal to the total figure in line 2 of the CTB(October 2007) form</t>
    </r>
  </si>
  <si>
    <t>PART 2A     INFORMATION IN RESPECT OF SECTION 13A OF THE LOCAL GOVERNMENT FINANCE ACT 1992 TO REDUCE THE AMOUNT OF COUNCIL TAX PAYABLE, IN INDIVIDUAL CASES OR CLASSES OF CASE</t>
  </si>
  <si>
    <t>Total number of second homes that received a reduced council tax discount as at 8 October 2007 (Class A &amp; B)</t>
  </si>
  <si>
    <t>Total number of long-term empty homes that received a reduced or zero council tax discount as at 8 October 2007 (Class C)</t>
  </si>
  <si>
    <t>PART 3 - NUMBER OF DWELLINGS ON LIST ON 17 SEPTEMBER 2007 THAT WERE SUBJECT TO A DISCOUNT DISREGARD
ON 8 OCTOBER 2007</t>
  </si>
  <si>
    <r>
      <t xml:space="preserve">2) Estimated number of class M and class N exemptions as </t>
    </r>
    <r>
      <rPr>
        <u val="single"/>
        <sz val="12"/>
        <rFont val="Arial"/>
        <family val="2"/>
      </rPr>
      <t>8 October 2007</t>
    </r>
    <r>
      <rPr>
        <sz val="12"/>
        <rFont val="Arial"/>
        <family val="2"/>
      </rPr>
      <t xml:space="preserve"> in respect of dwellings on the valuation list on
</t>
    </r>
    <r>
      <rPr>
        <u val="single"/>
        <sz val="12"/>
        <rFont val="Arial"/>
        <family val="2"/>
      </rPr>
      <t>17 September 2007.</t>
    </r>
    <r>
      <rPr>
        <sz val="12"/>
        <rFont val="Arial"/>
        <family val="2"/>
      </rPr>
      <t xml:space="preserve"> </t>
    </r>
  </si>
  <si>
    <t xml:space="preserve">(b) The figure entered in the total cell should equal the sum of the amounts entered for class M and class N exemptions in Table 1 of the CTB(Supplementary)(October 2007) form. </t>
  </si>
  <si>
    <t>I certify that the information provided in parts 1, 2A, 2B, 3 and 4 is based on the dwellings shown in the Valuation List for my authority on
17 September 2007 and that it accurately reflects the information available to me about exemptions and discounts applicable
on 8 October 2007.</t>
  </si>
  <si>
    <t>Part 4 - NUMBER OF STUDENT EXEMPTIONS</t>
  </si>
  <si>
    <t>Households may contain more than one group of disregarded person, therefore there may be an element of double counting.</t>
  </si>
  <si>
    <t xml:space="preserve">Is your local authority using the power under section 11A and SI 2003 No. 3011 to reduce the council tax discount for Class A and B dwellings ie second homes, as at 8 October 2007?   </t>
  </si>
  <si>
    <t>Is your local authority using the power under section 11A and SI 2003 No. 3011 to reduce or end the discount for Class C dwellings ie long term empty properties, as at 8 October 2007?</t>
  </si>
  <si>
    <t xml:space="preserve">Section 13A of the Local Government Finance Act 1992 enables local authorities to reduce the amount of council tax payable in individual cases or classes of case (ie effectively to grant local council tax discount and exemptions).
Any decisions taken by local authorities  to reduce the amount of council tax payable or as to any classes of case in which the amount payable will be reduced, made by 8 October 2007, in respect of the financial year 2007-08, should be recorded below.  </t>
  </si>
  <si>
    <t>Section 11A  of the Local Government Finance Act 1992 enables local authorities to reduce the amount of council tax discount given for second homes and to reduce or end the amount of council tax discount given in respect of long-term empty homes.
Any decisions taken by local authorities, regarding these regulations, to reduce the amount of council tax discount granted that are in force as at 8 October 2007 should be recorded below.</t>
  </si>
  <si>
    <r>
      <t xml:space="preserve">Please read the </t>
    </r>
    <r>
      <rPr>
        <b/>
        <i/>
        <sz val="14"/>
        <rFont val="Arial"/>
        <family val="2"/>
      </rPr>
      <t>Notes for completion of the CTB(Supplementary)(October 2007) form</t>
    </r>
    <r>
      <rPr>
        <b/>
        <sz val="14"/>
        <rFont val="Arial"/>
        <family val="2"/>
      </rPr>
      <t xml:space="preserve"> before completing this form</t>
    </r>
  </si>
  <si>
    <t>10.   Persons in detention</t>
  </si>
  <si>
    <t>11.   The severely mentally impaired</t>
  </si>
  <si>
    <t>12.   Persons in respect of whom child benefit is payable</t>
  </si>
  <si>
    <t>13.   Apprentices</t>
  </si>
  <si>
    <t>Line 1 CTB(October 2007)</t>
  </si>
  <si>
    <t>Difference between line 1 CTB(October 2007) and VOA data</t>
  </si>
  <si>
    <t>Line 2 CTB(October 2007)</t>
  </si>
  <si>
    <t>Line 2 from CTB(October 2007)</t>
  </si>
  <si>
    <t>Test 3 :  Line 2 from CTB(October 2007) compared with Line 2 from CTB for 2007-08, where the previous year's values are greater than 20</t>
  </si>
  <si>
    <t>Test 4 :  Line 3 from CTB(October 2007) compared with Line 3 from CTB for 2007-08,  where the previous year's values are greater than 20</t>
  </si>
  <si>
    <t>Line 3 from CTB(October 2007)</t>
  </si>
  <si>
    <t>Test 5 :  Line 3 from CTB(October 2007) compared with Line 3 from CTB for 2007-08, where the previous year's values are less than or equal to 20</t>
  </si>
  <si>
    <t>Test 6 :  Line 5 from CTB(October 2007) as a percentage of line 4 from CTB(October 2007)</t>
  </si>
  <si>
    <t>Line 5 from CTB(October 2007)</t>
  </si>
  <si>
    <t>Line 4 from CTB(October 2007)</t>
  </si>
  <si>
    <t>Test 7 :  Line 5 from CTB(October 2007) compared with Line 5 from CTB for 2007-08, where the previous year's values are greater than 20</t>
  </si>
  <si>
    <t>Test 8 :  Line 5 from CTB(October 2007) compared with Line 5 from CTB for 2007-08, where the previous year's values are less than or equal to 20</t>
  </si>
  <si>
    <t>Test 9 :  Line 8 from CTB(October 2007) compared with Line 8 from CTB for 2007-08, where the previous year's values are greater than 20</t>
  </si>
  <si>
    <t>Line 8 from CTB(October 2007)</t>
  </si>
  <si>
    <t>Test 10 :  Line 9 from CTB(October 2007) compared with Line 9 from CTB for 2007-08, where the previous year's values are greater than 20</t>
  </si>
  <si>
    <t>Line 9 from CTB(October 2007)</t>
  </si>
  <si>
    <t>Test 11 :  Line 9 from CTB(October 2007) compared with Line 9 from CTB for 2007-08, where the previous year's values are less than or equal to 20</t>
  </si>
  <si>
    <t>Test 12 :  Line 10 from CTB(October 2007) compared with Line 10 from CTB for 2007-08, where the previous year's values are greater than 20</t>
  </si>
  <si>
    <t>Line 10 from CTB(October 2007)</t>
  </si>
  <si>
    <t>Test 13 :  Line 10 from CTB(October 2007) compared with Line 10 from CTB for 2007-08, where the previous year's values are less than or equal to 20</t>
  </si>
  <si>
    <t>Test 14 :  Line 11 from CTB(October 2007) compared with Line 11 from CTB for 2007-08, where the previous year's values are greater than 20</t>
  </si>
  <si>
    <t>Line 11 from CTB(October 2007)</t>
  </si>
  <si>
    <t>Test 15 :  Line 11 from CTB(October 2007) compared with Line 11 from CTB for 2007-08, where the previous year's values are less than or equal to 20</t>
  </si>
  <si>
    <t>Test 16 :  Lines 12 from CTB(October 2007) compared with Line 12 from CTB for 2007-08</t>
  </si>
  <si>
    <t>Line 12 from CTB(October 2007)</t>
  </si>
  <si>
    <t>Test 17 :  Line 14 from CTB(October 2007) compared to Line 14 from CTB for 2007-08</t>
  </si>
  <si>
    <t>Line 14 from CTB(October 2007)</t>
  </si>
  <si>
    <t>Test 18 :  Line 15 from CTB(October 2007) compared to Line 15 from CTB for 2007-08</t>
  </si>
  <si>
    <t>Line 15 from CTB(October 2007)</t>
  </si>
  <si>
    <t>Line 20 from CTB(October 2007)</t>
  </si>
  <si>
    <t>Line 21 from CTB(October 2007)</t>
  </si>
  <si>
    <t>Test 1 :  Line 1 from CTB(October 2007) compared with dwellings information from VOA</t>
  </si>
  <si>
    <t>Any large % changes in figures between data on the CTB form for 2007-08 and the CTB(October 2007) form, or unusual figures when lines from your CTB(October 2007) form are expressed as a percentage of other lines, will need to be explained in the relevant boxes next to the test.</t>
  </si>
  <si>
    <t>Test 20 : Line 21 from CTB(October 2007) compared with Line 21 of CTB for 2007-08.</t>
  </si>
  <si>
    <t>CTB (October 2007) data.</t>
  </si>
  <si>
    <t>Completed forms should be received by CLG by Friday 26 October 2007</t>
  </si>
  <si>
    <t>CTB(October 2007)</t>
  </si>
  <si>
    <t>21. Tax base for Formula Grant purposes (to 1 decimal place) (line 19 col 10 + line 20)</t>
  </si>
  <si>
    <t>CTB(Supplementary)(October 2007) form</t>
  </si>
  <si>
    <t>No council tax discount (0%)</t>
  </si>
  <si>
    <t>1% - 9%</t>
  </si>
  <si>
    <r>
      <t xml:space="preserve">These dwellings should have been included within the figures reported at lines 9 and 10 of the CTB(October 2007) form for the number of chargeable dwellings on 17 September 2007 that were entitled to a 25% and 50% discount respectively on 8 October 2007.   Enter in lines 10 to 31 below the </t>
    </r>
    <r>
      <rPr>
        <u val="single"/>
        <sz val="12"/>
        <rFont val="Arial"/>
        <family val="2"/>
      </rPr>
      <t>number of dwellings</t>
    </r>
    <r>
      <rPr>
        <sz val="12"/>
        <rFont val="Arial"/>
        <family val="2"/>
      </rPr>
      <t xml:space="preserve"> (not the number of residents) where a resident is disregarded for council tax and whereby the dwelling is subject to a 25% or 50% discount.</t>
    </r>
  </si>
  <si>
    <t>This form should be received by CLG by e-mail no later than Friday 26 October 2007</t>
  </si>
  <si>
    <r>
      <t xml:space="preserve">These instructions highlight the special features of the form and should be read in conjunction with the </t>
    </r>
    <r>
      <rPr>
        <b/>
        <i/>
        <sz val="12"/>
        <rFont val="Arial"/>
        <family val="2"/>
      </rPr>
      <t xml:space="preserve">Notes for completion of the CTB(October 2007) form, </t>
    </r>
    <r>
      <rPr>
        <b/>
        <sz val="12"/>
        <rFont val="Arial"/>
        <family val="0"/>
      </rPr>
      <t xml:space="preserve">the </t>
    </r>
    <r>
      <rPr>
        <b/>
        <i/>
        <sz val="12"/>
        <rFont val="Arial"/>
        <family val="2"/>
      </rPr>
      <t>Notes for completion of the CTB(Supplementary)(October 2007) form</t>
    </r>
    <r>
      <rPr>
        <b/>
        <sz val="12"/>
        <rFont val="Arial"/>
        <family val="0"/>
      </rPr>
      <t xml:space="preserve"> and </t>
    </r>
    <r>
      <rPr>
        <b/>
        <i/>
        <sz val="12"/>
        <rFont val="Arial"/>
        <family val="2"/>
      </rPr>
      <t>Validation checks for the CTB(October 2007) form</t>
    </r>
    <r>
      <rPr>
        <b/>
        <sz val="12"/>
        <rFont val="Arial"/>
        <family val="0"/>
      </rPr>
      <t>.</t>
    </r>
  </si>
  <si>
    <t>DAVID HUBERMAN</t>
  </si>
  <si>
    <t>020-8937-1478</t>
  </si>
  <si>
    <t>020-8937-1399</t>
  </si>
  <si>
    <t>david.huberman@brent.gov.uk</t>
  </si>
  <si>
    <t>3. During the completion of the form you may be directed to the Validation sheet if its felt that the data entered requires any further explanation. The data being entered is compared with the CTB and CTB(Supplementary) forms for 2007-08 and other data. If the change between the data is higher or lower than we would normally expect, please provide an explanation for the change in the box provided.</t>
  </si>
  <si>
    <t>14.   Foreign language assistants</t>
  </si>
  <si>
    <t>15. Students on full time courses</t>
  </si>
  <si>
    <t>16. Students under the age of 20 undertaking qualifying courses</t>
  </si>
  <si>
    <t>17. TOTAL NUMBER OF DWELLINGS SUBJECT TO A DISCOUNT DISREGARD AS DEFINED IN LINES 14, 15 &amp; 16 (i.e. TOTAL STUDENTS). This figure should be less than or equal to line 14 + line 15 + line 16.  Please see note (a) below.</t>
  </si>
  <si>
    <t>18. Student nurses</t>
  </si>
  <si>
    <t>19. Youth training trainees</t>
  </si>
  <si>
    <t>20. Patients where the hospital is their main residence.</t>
  </si>
  <si>
    <t>22. Care workers: Part I of Schedule 1 to SI 1992/552</t>
  </si>
  <si>
    <t>23. Care workers: Part II of Schedule 1 to SI 1992/552</t>
  </si>
  <si>
    <t>24. TOTAL NUMBER OF DWELLINGS SUBJECT TO A DISCOUNT DISREGARD AS DEFINED IN LINES 22 AND 23 (i.e. TOTAL CARERS). Please see note (a) below.</t>
  </si>
  <si>
    <t>25. Residents of hostels, night shelters etc.</t>
  </si>
  <si>
    <t>26. Members of international headquarters and defence organisations</t>
  </si>
  <si>
    <t>27. Members of religious communities</t>
  </si>
  <si>
    <t>28. School and college leavers</t>
  </si>
  <si>
    <t>29. Persons with a relevant association with visiting armed forces</t>
  </si>
  <si>
    <t>30. Foreign spouses of students</t>
  </si>
  <si>
    <t>31. Diplomats</t>
  </si>
  <si>
    <t>Please note that Parts 1, 2A, 2B &amp; 3 ask for information on the number of dwellings on the valuation list as at 17 September 2007 that were subject to discounts and exemptions at 8 October 2007.
Part 2A asks for information relating to the power in section 13A of the Local Government Finance Act 1992, as inserted by section 76 of the Local Government Act 2003, enabling local authorities to reduce the amount of council tax payable, in individual cases or classes of case.
Part 2B asks for information relating to section 11A of the Local Government Finance Act 1992, as inserted by section 75 of the Local Government Act 2003, and The Council Tax (Prescribed Classes of Dwellings (England) Regulations 2003 (S.I. 2003/3011)) (Prescribed Classes of Dwellings (England) Regulations 2003 (S.I. 2003/3011)).
Part 4 asks for information on the number of Class M &amp; N exemptions as at 31 May 2007 and 8 October 2007.</t>
  </si>
  <si>
    <t>Test 2:  Line 2 from CTB(October 2007) as a % of line 1 from CTB(October 2007)</t>
  </si>
  <si>
    <t>Has your local authority used this power to reduce the council tax payable between 1 April and 8 October 2007?</t>
  </si>
  <si>
    <t xml:space="preserve">Does your authority plan to use this power between the 9 October 2007 and 31 March 2008? </t>
  </si>
  <si>
    <t xml:space="preserve">A dwelling which forms part of a single property including at least one other dwelling and which is the sole or main residence of a dependent relative of a person who is resident in the other dwelling. </t>
  </si>
  <si>
    <t>Line 2 from CTB for 2007-08</t>
  </si>
  <si>
    <t>Line 3 from CTB for 2007-08</t>
  </si>
  <si>
    <t>Line 5 from CTB for 2007-08</t>
  </si>
  <si>
    <t>Line 8 from CTB for 2007-08</t>
  </si>
  <si>
    <t>Line 9 from CTB for 2007-08</t>
  </si>
  <si>
    <t>Line 10 from CTB for 2007-08</t>
  </si>
  <si>
    <t>Line 11 from CTB for 2007-08</t>
  </si>
  <si>
    <t>Line 12 from CTB for 2007-08</t>
  </si>
  <si>
    <t>Line 14 from CTB for 2007-08</t>
  </si>
  <si>
    <t>Line 15 from CTB for 2007-08</t>
  </si>
  <si>
    <t>Line 21 from CTB for 2007-08</t>
  </si>
  <si>
    <t>For CLG use only</t>
  </si>
  <si>
    <t>Total number of dwellings on the Valuation List as at 17 September 2007</t>
  </si>
  <si>
    <t>N/A</t>
  </si>
  <si>
    <t xml:space="preserve">Check that this is your authority :   </t>
  </si>
  <si>
    <t xml:space="preserve">Local authority contact name :   </t>
  </si>
  <si>
    <t xml:space="preserve">Local authority telephone number :   </t>
  </si>
  <si>
    <t xml:space="preserve">Local authority fax number :   </t>
  </si>
  <si>
    <t xml:space="preserve">Local authority e-mail address :   </t>
  </si>
  <si>
    <t>No.</t>
  </si>
  <si>
    <t>Local Authority</t>
  </si>
  <si>
    <t>Ecodes</t>
  </si>
  <si>
    <t>Adur</t>
  </si>
  <si>
    <t>E3831</t>
  </si>
  <si>
    <t>Allerdale</t>
  </si>
  <si>
    <t>E0931</t>
  </si>
  <si>
    <t>Alnwick</t>
  </si>
  <si>
    <t>E2931</t>
  </si>
  <si>
    <t>Amber Valley</t>
  </si>
  <si>
    <t>E1031</t>
  </si>
  <si>
    <t>Arun</t>
  </si>
  <si>
    <t>E3832</t>
  </si>
  <si>
    <t>Ashfield</t>
  </si>
  <si>
    <t>E3031</t>
  </si>
  <si>
    <t>Ashford</t>
  </si>
  <si>
    <t>E2231</t>
  </si>
  <si>
    <t>Aylesbury Vale</t>
  </si>
  <si>
    <t>E0431</t>
  </si>
  <si>
    <t>Babergh</t>
  </si>
  <si>
    <t>E3531</t>
  </si>
  <si>
    <t>Barking and Dagenham</t>
  </si>
  <si>
    <t>E5030</t>
  </si>
  <si>
    <t>Barnet</t>
  </si>
  <si>
    <t>E5031</t>
  </si>
  <si>
    <t>Barnsley</t>
  </si>
  <si>
    <t>E4401</t>
  </si>
  <si>
    <t>Barrow-in-Furness</t>
  </si>
  <si>
    <t>E0932</t>
  </si>
  <si>
    <t>Basildon</t>
  </si>
  <si>
    <t>E1531</t>
  </si>
  <si>
    <t>E1731</t>
  </si>
  <si>
    <t>Bassetlaw</t>
  </si>
  <si>
    <t>E3032</t>
  </si>
  <si>
    <t>Bath &amp; North East Somerset</t>
  </si>
  <si>
    <t>E0101</t>
  </si>
  <si>
    <t>Bedford</t>
  </si>
  <si>
    <t>E0231</t>
  </si>
  <si>
    <t>Berwick-upon-Tweed</t>
  </si>
  <si>
    <t>E2932</t>
  </si>
  <si>
    <t>Bexley</t>
  </si>
  <si>
    <t>E5032</t>
  </si>
  <si>
    <t>Birmingham</t>
  </si>
  <si>
    <t>E4601</t>
  </si>
  <si>
    <t>Blaby</t>
  </si>
  <si>
    <t>E2431</t>
  </si>
  <si>
    <t>Total number of dwellings on the Valuation List as at 18 September 2006</t>
  </si>
  <si>
    <t>Number of dwellings on valuation list exempt on 9 October 2006 (Class A to W exemptions)</t>
  </si>
  <si>
    <t>Number of demolished dwellings and dwellings outside area of authority on 9 October 2006</t>
  </si>
  <si>
    <t>Number of chargeable dwellings on 9 October 2006 in line 4 subject to disabled reduction</t>
  </si>
  <si>
    <t>Number of dwellings in line 7 entitled to a single adult household 25% discount on 9 October 2006</t>
  </si>
  <si>
    <t>Number of dwellings in line 7 entitled to a 25% discount on 9 October 2006 due to all but one resident being disregarded for council tax purposes</t>
  </si>
  <si>
    <t>Number of dwellings in line 7 entitled to 50% discount on 9 October 2006 due to all residents being disregarded for council tax purposes</t>
  </si>
  <si>
    <t>Number of dwellings in line 7 classed as second homes and so treated for RSG purposes as being entitled to a 50% discount on 9 October 2006 (even if a lower discount has been granted in practice).</t>
  </si>
  <si>
    <t>Number of dwellings in line 7 classed as long-term empty and receiving a 50% discount on 9 October 2006</t>
  </si>
  <si>
    <t xml:space="preserve">  Number of dwellings in line 7 classed as long-term empty and receiving zero% discount on 9 October 2006</t>
  </si>
  <si>
    <t>Number of dwellings in line 7 classed as long-term empty and receiving between zero% and 50% discount on 9 October 2006</t>
  </si>
  <si>
    <t>CALCULATION OF COUNCIL TAX BASE FOR FORMULA GRANT PURPOSES</t>
  </si>
  <si>
    <t>Blackburn with Darwen</t>
  </si>
  <si>
    <t>E2301</t>
  </si>
  <si>
    <t>Blackpool</t>
  </si>
  <si>
    <t>E2302</t>
  </si>
  <si>
    <t>Blyth Valley</t>
  </si>
  <si>
    <t>E2933</t>
  </si>
  <si>
    <t>Bolsover</t>
  </si>
  <si>
    <t>E1032</t>
  </si>
  <si>
    <t>Bolton</t>
  </si>
  <si>
    <t>E4201</t>
  </si>
  <si>
    <t>Boston</t>
  </si>
  <si>
    <t>E2531</t>
  </si>
  <si>
    <t>Bournemouth</t>
  </si>
  <si>
    <t>E1202</t>
  </si>
  <si>
    <t>Bracknell Forest</t>
  </si>
  <si>
    <t>E0301</t>
  </si>
  <si>
    <t>Bradford</t>
  </si>
  <si>
    <t>E4701</t>
  </si>
  <si>
    <t>Braintree</t>
  </si>
  <si>
    <t>E1532</t>
  </si>
  <si>
    <t>Breckland</t>
  </si>
  <si>
    <t>E2631</t>
  </si>
  <si>
    <t>Brent</t>
  </si>
  <si>
    <t>E5033</t>
  </si>
  <si>
    <t>Brentwood</t>
  </si>
  <si>
    <t>E1533</t>
  </si>
  <si>
    <t>Bridgnorth</t>
  </si>
  <si>
    <t>E3231</t>
  </si>
  <si>
    <t>Brighton &amp; Hove</t>
  </si>
  <si>
    <t>E1401</t>
  </si>
  <si>
    <t>Bristol</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</si>
  <si>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</si>
  <si>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</si>
  <si>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</si>
  <si>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</si>
  <si>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</si>
  <si>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</si>
  <si>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</si>
  <si>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</si>
  <si>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</si>
  <si>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</si>
  <si>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</si>
  <si>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</si>
  <si>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</si>
  <si>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</si>
  <si>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</si>
  <si>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</si>
  <si>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</si>
  <si>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</si>
  <si>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</si>
  <si>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</si>
  <si>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</si>
  <si>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</si>
  <si>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</si>
  <si>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</si>
  <si>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</si>
  <si>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Caradon</t>
  </si>
  <si>
    <t>E0831</t>
  </si>
  <si>
    <t>Carlisle</t>
  </si>
  <si>
    <t>E0933</t>
  </si>
  <si>
    <t>Carrick</t>
  </si>
  <si>
    <t>E0832</t>
  </si>
  <si>
    <t>Castle Morpeth</t>
  </si>
  <si>
    <t>E2934</t>
  </si>
  <si>
    <t>Castle Point</t>
  </si>
  <si>
    <t>E1534</t>
  </si>
  <si>
    <t>Charnwood</t>
  </si>
  <si>
    <t>E2432</t>
  </si>
  <si>
    <t>Chelmsford</t>
  </si>
  <si>
    <t>E1535</t>
  </si>
  <si>
    <t>Cheltenham</t>
  </si>
  <si>
    <t>E1631</t>
  </si>
  <si>
    <t>Cherwell</t>
  </si>
  <si>
    <t>E3131</t>
  </si>
  <si>
    <t>Chester</t>
  </si>
  <si>
    <t>E0631</t>
  </si>
  <si>
    <t>Chesterfield</t>
  </si>
  <si>
    <t>E1033</t>
  </si>
  <si>
    <t>Chester-le-Street</t>
  </si>
  <si>
    <t>E1331</t>
  </si>
  <si>
    <t>Chichester</t>
  </si>
  <si>
    <t>E3833</t>
  </si>
  <si>
    <t>Chiltern</t>
  </si>
  <si>
    <t>E0432</t>
  </si>
  <si>
    <t>Chorley</t>
  </si>
  <si>
    <t>E2334</t>
  </si>
  <si>
    <t>Christchurch</t>
  </si>
  <si>
    <t>E1232</t>
  </si>
  <si>
    <t>City of London</t>
  </si>
  <si>
    <t>E5010</t>
  </si>
  <si>
    <t>Colchester</t>
  </si>
  <si>
    <t>E1536</t>
  </si>
  <si>
    <t>Congleton</t>
  </si>
  <si>
    <t>E0632</t>
  </si>
  <si>
    <t>Copeland</t>
  </si>
  <si>
    <t>E0934</t>
  </si>
  <si>
    <t>Corby</t>
  </si>
  <si>
    <t>E2831</t>
  </si>
  <si>
    <t>Cotswold</t>
  </si>
  <si>
    <t>E1632</t>
  </si>
  <si>
    <t>Coventry</t>
  </si>
  <si>
    <t>E4602</t>
  </si>
  <si>
    <t>Craven</t>
  </si>
  <si>
    <t>E2731</t>
  </si>
  <si>
    <t>Crawley</t>
  </si>
  <si>
    <t>E3834</t>
  </si>
  <si>
    <t>E0633</t>
  </si>
  <si>
    <t>Croydon</t>
  </si>
  <si>
    <t>E5035</t>
  </si>
  <si>
    <t>Dacorum</t>
  </si>
  <si>
    <t>E1932</t>
  </si>
  <si>
    <t>Darlington</t>
  </si>
  <si>
    <t>E1301</t>
  </si>
  <si>
    <t>Dartford</t>
  </si>
  <si>
    <t>E2233</t>
  </si>
  <si>
    <t>Daventry</t>
  </si>
  <si>
    <t>E2832</t>
  </si>
  <si>
    <t>Derby</t>
  </si>
  <si>
    <t>E1001</t>
  </si>
  <si>
    <t>Derbyshire Dales</t>
  </si>
  <si>
    <t>E1035</t>
  </si>
  <si>
    <t>Derwentside</t>
  </si>
  <si>
    <t>E1333</t>
  </si>
  <si>
    <t>Doncaster</t>
  </si>
  <si>
    <t>E4402</t>
  </si>
  <si>
    <t>Dover</t>
  </si>
  <si>
    <t>E2234</t>
  </si>
  <si>
    <t>Dudley</t>
  </si>
  <si>
    <t>E4603</t>
  </si>
  <si>
    <t>Durham</t>
  </si>
  <si>
    <t>E1334</t>
  </si>
  <si>
    <t>Ealing</t>
  </si>
  <si>
    <t>E5036</t>
  </si>
  <si>
    <t>Easington</t>
  </si>
  <si>
    <t>E1335</t>
  </si>
  <si>
    <t>East Cambridgeshire</t>
  </si>
  <si>
    <t>E0532</t>
  </si>
  <si>
    <t>East Devon</t>
  </si>
  <si>
    <t>E1131</t>
  </si>
  <si>
    <t>East Dorset</t>
  </si>
  <si>
    <t>E1233</t>
  </si>
  <si>
    <t>East Hampshire</t>
  </si>
  <si>
    <t>E1732</t>
  </si>
  <si>
    <t>East Hertfordshire</t>
  </si>
  <si>
    <t>E1933</t>
  </si>
  <si>
    <t>East Lindsey</t>
  </si>
  <si>
    <t>E2532</t>
  </si>
  <si>
    <t>East Northamptonshire</t>
  </si>
  <si>
    <t>E2833</t>
  </si>
  <si>
    <t>East Riding of Yorkshire</t>
  </si>
  <si>
    <t>E2001</t>
  </si>
  <si>
    <t>East Staffordshire</t>
  </si>
  <si>
    <t>E3432</t>
  </si>
  <si>
    <t>Eastbourne</t>
  </si>
  <si>
    <t>E1432</t>
  </si>
  <si>
    <t>Eastleigh</t>
  </si>
  <si>
    <t>E1733</t>
  </si>
  <si>
    <t>Eden</t>
  </si>
  <si>
    <t>E0935</t>
  </si>
  <si>
    <t>E0634</t>
  </si>
  <si>
    <t>Elmbridge</t>
  </si>
  <si>
    <t>E3631</t>
  </si>
  <si>
    <t>Enfield</t>
  </si>
  <si>
    <t>E5037</t>
  </si>
  <si>
    <t>Epping Forest</t>
  </si>
  <si>
    <t>E1537</t>
  </si>
  <si>
    <t xml:space="preserve">A new halls of residence has come in to rating this year, with the bulk of the assessments coming in to rating between the May and October figures above. 23 were in rating by end of May, with a further 81 coming in since then. </t>
  </si>
  <si>
    <t>E3632</t>
  </si>
  <si>
    <t>Erewash</t>
  </si>
  <si>
    <t>E1036</t>
  </si>
  <si>
    <t>Exeter</t>
  </si>
  <si>
    <t>E1132</t>
  </si>
  <si>
    <t>Fareham</t>
  </si>
  <si>
    <t>E1734</t>
  </si>
  <si>
    <t>Fenland</t>
  </si>
  <si>
    <t>E0533</t>
  </si>
  <si>
    <t>Forest Heath</t>
  </si>
  <si>
    <t>E3532</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</si>
  <si>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</si>
  <si>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</si>
  <si>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</si>
  <si>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</si>
  <si>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</si>
  <si>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</si>
  <si>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</si>
  <si>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</si>
  <si>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</si>
  <si>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</si>
  <si>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</si>
  <si>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</si>
  <si>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</si>
  <si>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</si>
  <si>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</si>
  <si>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</si>
  <si>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</si>
  <si>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</si>
  <si>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</si>
  <si>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</si>
  <si>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</si>
  <si>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</si>
  <si>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</si>
  <si>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</si>
  <si>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Hambleton</t>
  </si>
  <si>
    <t>E2732</t>
  </si>
  <si>
    <t>Hammersmith and Fulham</t>
  </si>
  <si>
    <t>E5014</t>
  </si>
  <si>
    <t>Harborough</t>
  </si>
  <si>
    <t>E2433</t>
  </si>
  <si>
    <t>Haringey</t>
  </si>
  <si>
    <t>E5038</t>
  </si>
  <si>
    <t>Harlow</t>
  </si>
  <si>
    <t>E1538</t>
  </si>
  <si>
    <t>Harrogate</t>
  </si>
  <si>
    <t>E2753</t>
  </si>
  <si>
    <t>Harrow</t>
  </si>
  <si>
    <t>E5039</t>
  </si>
  <si>
    <t>Hart</t>
  </si>
  <si>
    <t>E1736</t>
  </si>
  <si>
    <t>Hartlepool</t>
  </si>
  <si>
    <t>E0701</t>
  </si>
  <si>
    <t>Hastings</t>
  </si>
  <si>
    <t>E1433</t>
  </si>
  <si>
    <t>Havant</t>
  </si>
  <si>
    <t>E1737</t>
  </si>
  <si>
    <t>Havering</t>
  </si>
  <si>
    <t>E5040</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</si>
  <si>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</si>
  <si>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</si>
  <si>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</si>
  <si>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</si>
  <si>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</si>
  <si>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</si>
  <si>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</si>
  <si>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</si>
  <si>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</si>
  <si>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</si>
  <si>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</si>
  <si>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</si>
  <si>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</si>
  <si>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</si>
  <si>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</si>
  <si>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</si>
  <si>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</si>
  <si>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</si>
  <si>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</si>
  <si>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Isle of Wight Council</t>
  </si>
  <si>
    <t>E2101</t>
  </si>
  <si>
    <t>Isles of Scilly</t>
  </si>
  <si>
    <t>E4001</t>
  </si>
  <si>
    <t>Islington</t>
  </si>
  <si>
    <t>E5015</t>
  </si>
  <si>
    <t>Kennet</t>
  </si>
  <si>
    <t>10% exactly</t>
  </si>
  <si>
    <t>8.</t>
  </si>
  <si>
    <t>9.</t>
  </si>
  <si>
    <t>11% - 19%</t>
  </si>
  <si>
    <t>LTE: CTB Main Line 14</t>
  </si>
  <si>
    <t>LTE: CTB Main Line 15 (IF disc rate = 10)</t>
  </si>
  <si>
    <t>E3931</t>
  </si>
  <si>
    <t>Kensington and Chelsea</t>
  </si>
  <si>
    <t>E5016</t>
  </si>
  <si>
    <t>Kerrier</t>
  </si>
  <si>
    <t>E0833</t>
  </si>
  <si>
    <t>Kettering</t>
  </si>
  <si>
    <t>E2834</t>
  </si>
  <si>
    <t>E2634</t>
  </si>
  <si>
    <t>Kingston upon Hull</t>
  </si>
  <si>
    <t>E2002</t>
  </si>
  <si>
    <t>Kingston upon Thames</t>
  </si>
  <si>
    <t>E5043</t>
  </si>
  <si>
    <t>Kirklees</t>
  </si>
  <si>
    <t>E4703</t>
  </si>
  <si>
    <t>Knowsley</t>
  </si>
  <si>
    <t>E4301</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</si>
  <si>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</si>
  <si>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</si>
  <si>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</si>
  <si>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</si>
  <si>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</si>
  <si>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</si>
  <si>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</si>
  <si>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</si>
  <si>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</si>
  <si>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</si>
  <si>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</si>
  <si>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</si>
  <si>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</si>
  <si>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</si>
  <si>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</si>
  <si>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</si>
  <si>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</si>
  <si>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</si>
  <si>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</si>
  <si>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</si>
  <si>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Macclesfield</t>
  </si>
  <si>
    <t>E0636</t>
  </si>
  <si>
    <t>Maidstone</t>
  </si>
  <si>
    <t>E2237</t>
  </si>
  <si>
    <t>Maldon</t>
  </si>
  <si>
    <t>E1539</t>
  </si>
  <si>
    <t>Malvern Hills</t>
  </si>
  <si>
    <t>E1851</t>
  </si>
  <si>
    <t>Manchester</t>
  </si>
  <si>
    <t>E4203</t>
  </si>
  <si>
    <t>Mansfield</t>
  </si>
  <si>
    <t>E3035</t>
  </si>
  <si>
    <t>E2201</t>
  </si>
  <si>
    <t>Melton</t>
  </si>
  <si>
    <t>E2436</t>
  </si>
  <si>
    <t>Mendip</t>
  </si>
  <si>
    <t>E3331</t>
  </si>
  <si>
    <t>Merton</t>
  </si>
  <si>
    <t>E5044</t>
  </si>
  <si>
    <t>Mid Bedfordshire</t>
  </si>
  <si>
    <t>E0233</t>
  </si>
  <si>
    <t>Mid Devon</t>
  </si>
  <si>
    <t>E1133</t>
  </si>
  <si>
    <t>Mid Suffolk</t>
  </si>
  <si>
    <t>E3534</t>
  </si>
  <si>
    <t>Mid Sussex</t>
  </si>
  <si>
    <t>E3836</t>
  </si>
  <si>
    <t>Middlesbrough</t>
  </si>
  <si>
    <t>E0702</t>
  </si>
  <si>
    <t>Milton Keynes</t>
  </si>
  <si>
    <t>E0401</t>
  </si>
  <si>
    <t>Mole Valley</t>
  </si>
  <si>
    <t>E3634</t>
  </si>
  <si>
    <t>New Forest</t>
  </si>
  <si>
    <t>E1738</t>
  </si>
  <si>
    <t>Newark and Sherwood</t>
  </si>
  <si>
    <t>E3036</t>
  </si>
  <si>
    <t>Newcastle upon Tyne</t>
  </si>
  <si>
    <t>E4502</t>
  </si>
  <si>
    <t>Newcastle-under-Lyme</t>
  </si>
  <si>
    <t>E3434</t>
  </si>
  <si>
    <t>Newham</t>
  </si>
  <si>
    <t>E5045</t>
  </si>
  <si>
    <t>North Cornwall</t>
  </si>
  <si>
    <t>E0834</t>
  </si>
  <si>
    <t>North Devon</t>
  </si>
  <si>
    <t>E1134</t>
  </si>
  <si>
    <t>North Dorset</t>
  </si>
  <si>
    <t>E1234</t>
  </si>
  <si>
    <t>North East Derbyshire</t>
  </si>
  <si>
    <t>E1038</t>
  </si>
  <si>
    <t>North East Lincolnshire</t>
  </si>
  <si>
    <t>E2003</t>
  </si>
  <si>
    <t>North Hertfordshire</t>
  </si>
  <si>
    <t>E1935</t>
  </si>
  <si>
    <t>North Kesteven</t>
  </si>
  <si>
    <t>E2534</t>
  </si>
  <si>
    <t>North Lincolnshire</t>
  </si>
  <si>
    <t>E2004</t>
  </si>
  <si>
    <t>North Norfolk</t>
  </si>
  <si>
    <t>E2635</t>
  </si>
  <si>
    <t>North Shropshire</t>
  </si>
  <si>
    <t>E3232</t>
  </si>
  <si>
    <t>North Somerset</t>
  </si>
  <si>
    <t>E0104</t>
  </si>
  <si>
    <t>North Tyneside</t>
  </si>
  <si>
    <t>E4503</t>
  </si>
  <si>
    <t>North Warwickshire</t>
  </si>
  <si>
    <t>E3731</t>
  </si>
  <si>
    <t>North West Leicestershire</t>
  </si>
  <si>
    <t>E2437</t>
  </si>
  <si>
    <t>North Wiltshire</t>
  </si>
  <si>
    <t>E3932</t>
  </si>
  <si>
    <t>Northampton</t>
  </si>
  <si>
    <t>E2835</t>
  </si>
  <si>
    <t>Norwich</t>
  </si>
  <si>
    <t>E2636</t>
  </si>
  <si>
    <t>Nottingham</t>
  </si>
  <si>
    <t>E3001</t>
  </si>
  <si>
    <t>Comments, if any :</t>
  </si>
  <si>
    <t>(a) A class M exemption relates to a hall of residence provided predominantly for the accommodation of students, and a class N exemption relates to a dwelling which is occupied only by students, the foreign spouses of students, or school and college leavers</t>
  </si>
  <si>
    <t>Nuneaton and Bedworth</t>
  </si>
  <si>
    <t>E3732</t>
  </si>
  <si>
    <t>Oadby and Wigston</t>
  </si>
  <si>
    <t>E2438</t>
  </si>
  <si>
    <t>Oldham</t>
  </si>
  <si>
    <t>E4204</t>
  </si>
  <si>
    <t>Oswestry</t>
  </si>
  <si>
    <t>E3233</t>
  </si>
  <si>
    <t>Oxford</t>
  </si>
  <si>
    <t>E3132</t>
  </si>
  <si>
    <t>Pendle</t>
  </si>
  <si>
    <t>E2338</t>
  </si>
  <si>
    <t>Penwith</t>
  </si>
  <si>
    <t>E0835</t>
  </si>
  <si>
    <t>Peterborough</t>
  </si>
  <si>
    <t>E0501</t>
  </si>
  <si>
    <t>Entry in both areas</t>
  </si>
  <si>
    <t>Line 2 of main CTB NOT empty</t>
  </si>
  <si>
    <t>Line 2 total</t>
  </si>
  <si>
    <t>2nd Homes: CTB Main Line 11</t>
  </si>
  <si>
    <t>LTE: CTB Main Lines 14 + Line 15 (IF disc rate &lt; than 10)</t>
  </si>
  <si>
    <t>LTE: CTB Main Line 15 disc rate</t>
  </si>
  <si>
    <t>LTE: CTB Main Line 15 total</t>
  </si>
  <si>
    <t>Plymouth</t>
  </si>
  <si>
    <t>E1101</t>
  </si>
  <si>
    <t>Poole</t>
  </si>
  <si>
    <t>E1201</t>
  </si>
  <si>
    <t>Portsmouth</t>
  </si>
  <si>
    <t>E1701</t>
  </si>
  <si>
    <t>Preston</t>
  </si>
  <si>
    <t>E2339</t>
  </si>
  <si>
    <t>Purbeck</t>
  </si>
  <si>
    <t>E1236</t>
  </si>
  <si>
    <t>Reading</t>
  </si>
  <si>
    <t>E0303</t>
  </si>
  <si>
    <t>Redbridge</t>
  </si>
  <si>
    <t>E5046</t>
  </si>
  <si>
    <t>Redcar and Cleveland</t>
  </si>
  <si>
    <t>E0703</t>
  </si>
  <si>
    <t>Redditch</t>
  </si>
  <si>
    <t>E1835</t>
  </si>
  <si>
    <t>Reigate and Banstead</t>
  </si>
  <si>
    <t>E3635</t>
  </si>
  <si>
    <t>Restormel</t>
  </si>
  <si>
    <t>E0836</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</si>
  <si>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</si>
  <si>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</si>
  <si>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</si>
  <si>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</si>
  <si>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</si>
  <si>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</si>
  <si>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</si>
  <si>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</si>
  <si>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</si>
  <si>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</si>
  <si>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</si>
  <si>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</si>
  <si>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</si>
  <si>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</si>
  <si>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</si>
  <si>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</si>
  <si>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</si>
  <si>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</si>
  <si>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</si>
  <si>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</si>
  <si>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</si>
  <si>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</si>
  <si>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</si>
  <si>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</si>
  <si>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t>
  </si>
  <si>
    <t>E2402</t>
  </si>
  <si>
    <t>Ryedale</t>
  </si>
  <si>
    <t>E2755</t>
  </si>
  <si>
    <t>Salford</t>
  </si>
  <si>
    <t>E4206</t>
  </si>
  <si>
    <t>Salisbury</t>
  </si>
  <si>
    <t>E3933</t>
  </si>
  <si>
    <t>Sandwell</t>
  </si>
  <si>
    <t>E4604</t>
  </si>
  <si>
    <t>Scarborough</t>
  </si>
  <si>
    <t>E2736</t>
  </si>
  <si>
    <t>Sedgefield</t>
  </si>
  <si>
    <t>E1336</t>
  </si>
  <si>
    <t>Sedgemoor</t>
  </si>
  <si>
    <t>If you are unable to provide information in Part 3 please provide details below</t>
  </si>
  <si>
    <t>7. Number of chargeable dwellings adjusted in accordance with lines 5 and 6 (lines 4-5+6 or in the case of column 1, line 6)</t>
  </si>
  <si>
    <t>E3332</t>
  </si>
  <si>
    <t>Sefton</t>
  </si>
  <si>
    <t>E4304</t>
  </si>
  <si>
    <t>Selby</t>
  </si>
  <si>
    <t>E2757</t>
  </si>
  <si>
    <t>Sevenoaks</t>
  </si>
  <si>
    <t>E2239</t>
  </si>
  <si>
    <t>Sheffield</t>
  </si>
  <si>
    <t>E4404</t>
  </si>
  <si>
    <t>Shepway</t>
  </si>
  <si>
    <t>E2240</t>
  </si>
  <si>
    <t>Shrewsbury and Atcham</t>
  </si>
  <si>
    <t>E3234</t>
  </si>
  <si>
    <t>Slough</t>
  </si>
  <si>
    <t>E0304</t>
  </si>
  <si>
    <t>Solihull</t>
  </si>
  <si>
    <t>E4605</t>
  </si>
  <si>
    <t>South Bedfordshire</t>
  </si>
  <si>
    <t>E0234</t>
  </si>
  <si>
    <t>South Bucks</t>
  </si>
  <si>
    <t>E0434</t>
  </si>
  <si>
    <t>South Cambridgeshire</t>
  </si>
  <si>
    <t>E0536</t>
  </si>
  <si>
    <t>South Derbyshire</t>
  </si>
  <si>
    <t>E1039</t>
  </si>
  <si>
    <t>South Gloucestershire</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</si>
  <si>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</si>
  <si>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</si>
  <si>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</si>
  <si>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</si>
  <si>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</si>
  <si>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</si>
  <si>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</si>
  <si>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</si>
  <si>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</si>
  <si>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</si>
  <si>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</si>
  <si>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</si>
  <si>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</si>
  <si>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</si>
  <si>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</si>
  <si>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</si>
  <si>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</si>
  <si>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Shropshire</t>
  </si>
  <si>
    <t>E3235</t>
  </si>
  <si>
    <t>South Somerset</t>
  </si>
  <si>
    <t>E3334</t>
  </si>
  <si>
    <t>South Staffordshire</t>
  </si>
  <si>
    <t>E3435</t>
  </si>
  <si>
    <t>South Tyneside</t>
  </si>
  <si>
    <t>E4504</t>
  </si>
  <si>
    <t>Southampton</t>
  </si>
  <si>
    <t>E1702</t>
  </si>
  <si>
    <t>Southend-on-Sea</t>
  </si>
  <si>
    <t>E1501</t>
  </si>
  <si>
    <t>Southwark</t>
  </si>
  <si>
    <t>E5019</t>
  </si>
  <si>
    <t>Spelthorne</t>
  </si>
  <si>
    <t>E3637</t>
  </si>
  <si>
    <t>St Albans</t>
  </si>
  <si>
    <t>E1936</t>
  </si>
  <si>
    <t>St Edmundsbury</t>
  </si>
  <si>
    <t>E3535</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</si>
  <si>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</si>
  <si>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</si>
  <si>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</si>
  <si>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</si>
  <si>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</si>
  <si>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</si>
  <si>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</si>
  <si>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</si>
  <si>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</si>
  <si>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</si>
  <si>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</si>
  <si>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</si>
  <si>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</si>
  <si>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</si>
  <si>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</si>
  <si>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</si>
  <si>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</si>
  <si>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</si>
  <si>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Suffolk Coastal</t>
  </si>
  <si>
    <t>E3536</t>
  </si>
  <si>
    <t>Sunderland</t>
  </si>
  <si>
    <t>E4505</t>
  </si>
  <si>
    <t>Surrey Heath</t>
  </si>
  <si>
    <t>E3638</t>
  </si>
  <si>
    <t>Sutton</t>
  </si>
  <si>
    <t>E5048</t>
  </si>
  <si>
    <t>Swale</t>
  </si>
  <si>
    <t>E2241</t>
  </si>
  <si>
    <t>Swindon</t>
  </si>
  <si>
    <t>E3901</t>
  </si>
  <si>
    <t>Tameside</t>
  </si>
  <si>
    <t>E4208</t>
  </si>
  <si>
    <t>Tamworth</t>
  </si>
  <si>
    <t>E3439</t>
  </si>
  <si>
    <t>Tandridge</t>
  </si>
  <si>
    <t>E3639</t>
  </si>
  <si>
    <t>Taunton Deane</t>
  </si>
  <si>
    <t>E3333</t>
  </si>
  <si>
    <t>Teesdale</t>
  </si>
  <si>
    <t>E1337</t>
  </si>
  <si>
    <t>Teignbridge</t>
  </si>
  <si>
    <t>E1137</t>
  </si>
  <si>
    <t>Telford and the Wrekin</t>
  </si>
  <si>
    <t>E3201</t>
  </si>
  <si>
    <t>Tendring</t>
  </si>
  <si>
    <t>E1542</t>
  </si>
  <si>
    <t>Test Valley</t>
  </si>
  <si>
    <t>E1742</t>
  </si>
  <si>
    <t>Tewkesbury</t>
  </si>
  <si>
    <t>E1636</t>
  </si>
  <si>
    <t>Thanet</t>
  </si>
  <si>
    <t>E2242</t>
  </si>
  <si>
    <t>Three Rivers</t>
  </si>
  <si>
    <t>E1938</t>
  </si>
  <si>
    <t>Thurrock</t>
  </si>
  <si>
    <t>E1502</t>
  </si>
  <si>
    <t>Tonbridge and Malling</t>
  </si>
  <si>
    <t>E2243</t>
  </si>
  <si>
    <t>Torbay</t>
  </si>
  <si>
    <t>E1102</t>
  </si>
  <si>
    <t>Torridge</t>
  </si>
  <si>
    <t>E1139</t>
  </si>
  <si>
    <t>Tower Hamlets</t>
  </si>
  <si>
    <t>E5020</t>
  </si>
  <si>
    <t>Trafford</t>
  </si>
  <si>
    <t>E4209</t>
  </si>
  <si>
    <t>Tunbridge Wells</t>
  </si>
  <si>
    <t>E2244</t>
  </si>
  <si>
    <t>Tynedale</t>
  </si>
  <si>
    <t>E2935</t>
  </si>
  <si>
    <t>Uttlesford</t>
  </si>
  <si>
    <t>E1544</t>
  </si>
  <si>
    <t>Vale of White Horse</t>
  </si>
  <si>
    <t>E3134</t>
  </si>
  <si>
    <t>Vale Royal</t>
  </si>
  <si>
    <t>E0637</t>
  </si>
  <si>
    <t>Wakefield</t>
  </si>
  <si>
    <t>E4705</t>
  </si>
  <si>
    <t>Walsall</t>
  </si>
  <si>
    <t>E4606</t>
  </si>
  <si>
    <t>Waltham Forest</t>
  </si>
  <si>
    <t>E5049</t>
  </si>
  <si>
    <t>Wandsworth</t>
  </si>
  <si>
    <t>E5021</t>
  </si>
  <si>
    <t>Wansbeck</t>
  </si>
  <si>
    <t>E2936</t>
  </si>
  <si>
    <t>Warrington</t>
  </si>
  <si>
    <t>E0602</t>
  </si>
  <si>
    <t>Warwick</t>
  </si>
  <si>
    <t>E3735</t>
  </si>
  <si>
    <t>Watford</t>
  </si>
  <si>
    <t>E1939</t>
  </si>
  <si>
    <t>Waveney</t>
  </si>
  <si>
    <t>E3537</t>
  </si>
  <si>
    <t>Waverley</t>
  </si>
  <si>
    <t>E3640</t>
  </si>
  <si>
    <t>Wealden</t>
  </si>
  <si>
    <t>E1437</t>
  </si>
  <si>
    <t>Wear Valley</t>
  </si>
  <si>
    <t>E1338</t>
  </si>
  <si>
    <t>Wellingborough</t>
  </si>
  <si>
    <t>E2837</t>
  </si>
  <si>
    <t>Welwyn Hatfield</t>
  </si>
  <si>
    <t>E1940</t>
  </si>
  <si>
    <t>West Berkshire</t>
  </si>
  <si>
    <t>E0302</t>
  </si>
  <si>
    <t>West Devon</t>
  </si>
  <si>
    <t>E1140</t>
  </si>
  <si>
    <t>West Dorset</t>
  </si>
  <si>
    <t>E1237</t>
  </si>
  <si>
    <t>West Lancashire</t>
  </si>
  <si>
    <t>E2343</t>
  </si>
  <si>
    <t>West Lindsey</t>
  </si>
  <si>
    <t>E2537</t>
  </si>
  <si>
    <t>West Oxfordshire</t>
  </si>
  <si>
    <t>E3135</t>
  </si>
  <si>
    <t>West Somerset</t>
  </si>
  <si>
    <t>E3335</t>
  </si>
  <si>
    <t>West Wiltshire</t>
  </si>
  <si>
    <t>E3935</t>
  </si>
  <si>
    <t>Westminster</t>
  </si>
  <si>
    <t>E5022</t>
  </si>
  <si>
    <t>Weymouth and Portland</t>
  </si>
  <si>
    <t>E1238</t>
  </si>
  <si>
    <t>Wigan</t>
  </si>
  <si>
    <t>E4210</t>
  </si>
  <si>
    <t>Winchester</t>
  </si>
  <si>
    <t>E1743</t>
  </si>
  <si>
    <t>Windsor and Maidenhead</t>
  </si>
  <si>
    <t>E0305</t>
  </si>
  <si>
    <t>Wirral</t>
  </si>
  <si>
    <t>E4305</t>
  </si>
  <si>
    <t>Woking</t>
  </si>
  <si>
    <t>E3641</t>
  </si>
  <si>
    <t>Wokingham</t>
  </si>
  <si>
    <t>E0306</t>
  </si>
  <si>
    <t>Wolverhampton</t>
  </si>
  <si>
    <t>E4607</t>
  </si>
  <si>
    <t>Worcester</t>
  </si>
  <si>
    <t>E1837</t>
  </si>
  <si>
    <t>Worthing</t>
  </si>
  <si>
    <t>E3837</t>
  </si>
  <si>
    <t>Wychavon</t>
  </si>
  <si>
    <t>E1838</t>
  </si>
  <si>
    <t>Wycombe</t>
  </si>
  <si>
    <t>E0435</t>
  </si>
  <si>
    <t>Wyre</t>
  </si>
  <si>
    <t>E2344</t>
  </si>
  <si>
    <t>Wyre Forest</t>
  </si>
  <si>
    <t>E1839</t>
  </si>
  <si>
    <t>York</t>
  </si>
  <si>
    <t>E2701</t>
  </si>
  <si>
    <t>ZZZZ</t>
  </si>
  <si>
    <t>EZZZZ</t>
  </si>
  <si>
    <t>Certificate of Chief Financial Officer</t>
  </si>
  <si>
    <t>Basingstoke &amp; Deane</t>
  </si>
  <si>
    <t>Crewe &amp; Nantwich</t>
  </si>
  <si>
    <t>Ellesmere Port &amp; Neston</t>
  </si>
  <si>
    <t>Epsom &amp; Ewell</t>
  </si>
  <si>
    <t>Kings Lynn and West Norfolk</t>
  </si>
  <si>
    <t>Completing the form</t>
  </si>
  <si>
    <t>Certifying the Form</t>
  </si>
  <si>
    <t>Checking the Validation Sheet</t>
  </si>
  <si>
    <t>1. Total number of dwellings on the Valuation List</t>
  </si>
  <si>
    <t>6. Number of dwellings effectively subject to council tax for this band by virtue of disabled relief (line 5 after reduction)</t>
  </si>
  <si>
    <t>Date : ………………………………………………………</t>
  </si>
  <si>
    <t>Band A entitled to disabled relief reduction COLUMN 1</t>
  </si>
  <si>
    <t>Band A COLUMN 2</t>
  </si>
  <si>
    <t>Band B COLUMN 3</t>
  </si>
  <si>
    <t>Band C COLUMN 4</t>
  </si>
  <si>
    <t>Band D COLUMN 5</t>
  </si>
  <si>
    <t>Band F COLUMN 7</t>
  </si>
  <si>
    <t>Band G COLUMN 8</t>
  </si>
  <si>
    <t>Band H COLUMN 9</t>
  </si>
  <si>
    <t>TOTAL COLUMN 10</t>
  </si>
  <si>
    <t>A</t>
  </si>
  <si>
    <t>B</t>
  </si>
  <si>
    <t>C</t>
  </si>
  <si>
    <t>D</t>
  </si>
  <si>
    <t>E</t>
  </si>
  <si>
    <t>F</t>
  </si>
  <si>
    <t>G</t>
  </si>
  <si>
    <t>Total</t>
  </si>
  <si>
    <t>LINE 2</t>
  </si>
  <si>
    <t>Band A</t>
  </si>
  <si>
    <t>Band B</t>
  </si>
  <si>
    <t>Band C</t>
  </si>
  <si>
    <t>Band D</t>
  </si>
  <si>
    <t>Band E</t>
  </si>
  <si>
    <t>Band G</t>
  </si>
  <si>
    <t>Band F</t>
  </si>
  <si>
    <t>Band H</t>
  </si>
  <si>
    <t>TOTAL</t>
  </si>
  <si>
    <t>absolute difference</t>
  </si>
  <si>
    <t>LINE 5</t>
  </si>
  <si>
    <t>Line 12 from BR1 for 2007-08</t>
  </si>
  <si>
    <t>Test 19 :  Line 20 from CTB(October 2007) compared with Line 12 from BR1 2007-08, where BR value exceeded 20</t>
  </si>
  <si>
    <t>Line 2 expressed as a % of line 1</t>
  </si>
  <si>
    <t>Line 5 expressed as a % of line 4</t>
  </si>
  <si>
    <t>Line 1</t>
  </si>
  <si>
    <t>Line 2</t>
  </si>
  <si>
    <t>Line 3</t>
  </si>
  <si>
    <t>Line 5</t>
  </si>
  <si>
    <t>Line 8</t>
  </si>
  <si>
    <t>Line 9</t>
  </si>
  <si>
    <t>Line 10</t>
  </si>
  <si>
    <t>Line 11</t>
  </si>
  <si>
    <t>Line 14</t>
  </si>
  <si>
    <t>Line 15</t>
  </si>
  <si>
    <t>No Band D contributions</t>
  </si>
  <si>
    <t>Council</t>
  </si>
  <si>
    <t xml:space="preserve">in lieu (in respect of </t>
  </si>
  <si>
    <t>Taxbase</t>
  </si>
  <si>
    <t>class O dwellings)</t>
  </si>
  <si>
    <t>A-</t>
  </si>
  <si>
    <t xml:space="preserve">H </t>
  </si>
  <si>
    <t xml:space="preserve">VOA Data </t>
  </si>
  <si>
    <t>VOA data</t>
  </si>
  <si>
    <t>LINE 1</t>
  </si>
  <si>
    <t xml:space="preserve"> </t>
  </si>
  <si>
    <t>Band A entitled to a disabled reduction</t>
  </si>
  <si>
    <t>18. Ratio to band D</t>
  </si>
  <si>
    <t>LINE 20</t>
  </si>
  <si>
    <t>LINE 8</t>
  </si>
  <si>
    <t>16. Number of dwellings in line 7 where there is liability to pay 100% council tax (lines 7-8-9-13-15)</t>
  </si>
  <si>
    <t>Band E COLUMN    6</t>
  </si>
  <si>
    <t>Now open the sheet called Validation to see if there are any inconsistencies in your form</t>
  </si>
  <si>
    <t>% change</t>
  </si>
  <si>
    <t>LINE 12</t>
  </si>
  <si>
    <t>LINE 14</t>
  </si>
  <si>
    <t>LINE 15</t>
  </si>
  <si>
    <t>Line 12</t>
  </si>
  <si>
    <t>Line 21</t>
  </si>
  <si>
    <t/>
  </si>
  <si>
    <t>Medway</t>
  </si>
  <si>
    <t>Herefordshire</t>
  </si>
  <si>
    <t>Accept</t>
  </si>
  <si>
    <r>
      <t>17. Total equivalent number of dwellings after discounts, exemptions and disabled relief</t>
    </r>
    <r>
      <rPr>
        <i/>
        <sz val="14"/>
        <rFont val="Arial"/>
        <family val="2"/>
      </rPr>
      <t xml:space="preserve"> (to 2 decimal places)   </t>
    </r>
    <r>
      <rPr>
        <sz val="14"/>
        <rFont val="Arial"/>
        <family val="2"/>
      </rPr>
      <t>[(line 8 x 0.75) + (line 9 x 0.75) + (line 13 x 0.5) + line 15 x ((100 - % discount)/100) + line 16]</t>
    </r>
  </si>
  <si>
    <r>
      <t xml:space="preserve">19. Number of band D equivalents </t>
    </r>
    <r>
      <rPr>
        <i/>
        <sz val="14"/>
        <rFont val="Arial"/>
        <family val="2"/>
      </rPr>
      <t>(to 1 decimal place)</t>
    </r>
    <r>
      <rPr>
        <sz val="14"/>
        <rFont val="Arial"/>
        <family val="2"/>
      </rPr>
      <t>(line 17 x line 18)</t>
    </r>
  </si>
  <si>
    <t>Chief Financial Officer : ………………………………………………………………………………</t>
  </si>
  <si>
    <t>Please email to: ctb.statistics@communities.gsi.gov.uk</t>
  </si>
  <si>
    <t>Please enter your details after checking that you have selected the correct authority name</t>
  </si>
  <si>
    <t>example shows the local authority ZZZZ.</t>
  </si>
  <si>
    <t>User-Entry validation (in this page)</t>
  </si>
  <si>
    <t>Validation Tests (from Validation page)</t>
  </si>
  <si>
    <t>Please check any differences with your local valuation office (VO).  Differences can only be accepted where the VOA writes to us confirming that the figures they have supplied are incorrect and that the authority's figures should be accepted.</t>
  </si>
  <si>
    <t>Click here to return to form</t>
  </si>
  <si>
    <t>LINE  3</t>
  </si>
  <si>
    <t>LINE 9</t>
  </si>
  <si>
    <t>LINE 10</t>
  </si>
  <si>
    <t>LINE 11</t>
  </si>
  <si>
    <t>LINE 21</t>
  </si>
  <si>
    <t>(a)  Authorities are asked to provide a split between the three student categories and a split between the two carer categories by either extracting data from computer systems  or providing a best estimate.  If, however, this is not possible then please enter the total number of dwellings that are subject to the various student and carer discount disregards in the relevant boxes.</t>
  </si>
  <si>
    <t>PART 2B - INFORMATION IN RESPECT OF SECTION 11A OF THE LOCAL GOVERNMENT FINANCE ACT 1992 AND THE COUNCIL TAX (PRESCRIBED CLASSES OF DWELLINGS)(ENGLAND) REGULATIONS (S.I.2003/3011))</t>
  </si>
  <si>
    <t>Yes</t>
  </si>
  <si>
    <t>No</t>
  </si>
  <si>
    <t>Decision has not been made</t>
  </si>
  <si>
    <t>Second Homes</t>
  </si>
  <si>
    <t>Long Term Empties</t>
  </si>
  <si>
    <t>Exemptions - plan to use power</t>
  </si>
  <si>
    <t>Exemptions - use power</t>
  </si>
  <si>
    <t>Reductions</t>
  </si>
  <si>
    <t>Powers</t>
  </si>
  <si>
    <t>Second Homes and Empties</t>
  </si>
  <si>
    <t>Discount Disregards</t>
  </si>
  <si>
    <t xml:space="preserve">Exemptions </t>
  </si>
  <si>
    <t>DCLG USE ONLY</t>
  </si>
  <si>
    <t xml:space="preserve">  FOR DCLG USE ONLY : DO NOT AMEND</t>
  </si>
  <si>
    <t>Total No of Dwellings</t>
  </si>
  <si>
    <t>Demolished Dwellings</t>
  </si>
  <si>
    <t>Chargeable Dwellings</t>
  </si>
  <si>
    <t>LTE discount</t>
  </si>
  <si>
    <t>Band D equivalents</t>
  </si>
  <si>
    <t>LA name</t>
  </si>
  <si>
    <t>1. The form can be set up for each individual local authority by selecting the appropriate authority name from the list. The</t>
  </si>
  <si>
    <t xml:space="preserve">2.  There are three different coloured input cells: </t>
  </si>
  <si>
    <t xml:space="preserve">4.  When the data has been checked and verified please email the complete file to ctb.statistics@communities.gsi.gov.uk </t>
  </si>
  <si>
    <r>
      <t xml:space="preserve">5. </t>
    </r>
    <r>
      <rPr>
        <b/>
        <sz val="12"/>
        <rFont val="Arial"/>
        <family val="0"/>
      </rPr>
      <t xml:space="preserve"> Print a copy of the form for certification by your Chief Financial Officer.   To print a copy of the form, go to the Name Box (left hand corner below the font box) and select 'Print_Area'.</t>
    </r>
  </si>
  <si>
    <t>6.  If you experience any problems using the form or downloading it onto your system please email ctb.statistics@communities.gsi.gov.uk</t>
  </si>
  <si>
    <t>Please e-mail to : ctb.statistics@communities.gsi.gov.uk</t>
  </si>
  <si>
    <t>Please enter your details after checking that you have selected the correct local authority name</t>
  </si>
  <si>
    <t>20. Number of band D equivalents of contributions in lieu (in respect of Class O exempt dwellings) in 2007-08 (to 1 decimal place)</t>
  </si>
  <si>
    <t>11. Number of dwellings in line 7 classed as second homes and so treated for Formula Grant purposes as being entitled to a 50% discount on 8 October 2007 (even if a lower discount has been granted in practice).</t>
  </si>
  <si>
    <t>13. Total number of dwellings in line 7 entitled to a 50% discount for Formula Grant purposes on 8 October 2007 (lines 10+11+12)</t>
  </si>
  <si>
    <t>An unoccupied dwelling which was previously the sole or main residence of a person who is the owner or tenant and has moved to receive personal care.</t>
  </si>
  <si>
    <t>CTB1</t>
  </si>
  <si>
    <t>CTB1(S)</t>
  </si>
  <si>
    <t>An unoccupied dwelling where the owner is a student who last lived in the dwelling as their main home.</t>
  </si>
  <si>
    <t>A dwelling which is occupied only by students, the foreign spouses of students, or school and college leavers.</t>
  </si>
  <si>
    <t>Armed forces' accommodation. (Included as exempt dwellings rather than chargeable dwellings because contributions in lieu will be paid in respect of them, allowed for in line 20 of the CTB form).</t>
  </si>
  <si>
    <t>Number of Exemptions</t>
  </si>
  <si>
    <t>Disabled Reduction</t>
  </si>
  <si>
    <t>Disabled Relief</t>
  </si>
  <si>
    <t>Adjusted in accordance with lines 5 &amp; 6</t>
  </si>
  <si>
    <t>Single Adult 25% discount</t>
  </si>
  <si>
    <t>Disregarded  25% discount</t>
  </si>
  <si>
    <t>Disregarded 50% discount</t>
  </si>
  <si>
    <t>Total number entitled to 50% discount for RSG</t>
  </si>
  <si>
    <t>LTE zero% discount</t>
  </si>
  <si>
    <t>LTE variable discount</t>
  </si>
  <si>
    <t>100% Council Tax</t>
  </si>
  <si>
    <t>Total Equivalent number of dwellings</t>
  </si>
  <si>
    <t>Contributions in lieu</t>
  </si>
  <si>
    <t>Tax base</t>
  </si>
  <si>
    <t>Flood exemptions</t>
  </si>
  <si>
    <t>A dwelling where at least one person who would otherwise be liable has a relevant association with a Visiting Force.</t>
  </si>
  <si>
    <t>An unoccupied dwelling where the person who would otherwise be liable is a trustee in bankruptcy.</t>
  </si>
  <si>
    <t>A dwelling which forms part of a single property which includes another dwelling and may not be let separately from that dwelling, without a breach of planning control.</t>
  </si>
  <si>
    <t>A dwelling occupied only by a person, or persons, who is or are severely mentally impaired who would otherwise be liable to pay the council tax or only by a one or more severely mentally impaired persons and one or more students, students' foreign spouses and school and college leavers.</t>
  </si>
  <si>
    <r>
      <t xml:space="preserve">White background, green border - These cells are all calculations and have the appropriate formula.  There should be </t>
    </r>
    <r>
      <rPr>
        <b/>
        <i/>
        <u val="single"/>
        <sz val="12"/>
        <rFont val="Arial"/>
        <family val="0"/>
      </rPr>
      <t>no need</t>
    </r>
    <r>
      <rPr>
        <b/>
        <i/>
        <sz val="12"/>
        <rFont val="Arial"/>
        <family val="0"/>
      </rPr>
      <t xml:space="preserve"> to overwrite these cells but please check that you are happy with the calculation.</t>
    </r>
  </si>
  <si>
    <r>
      <t xml:space="preserve">White background, black border - these cells are blank for new data - </t>
    </r>
    <r>
      <rPr>
        <b/>
        <i/>
        <u val="single"/>
        <sz val="12"/>
        <rFont val="Arial"/>
        <family val="0"/>
      </rPr>
      <t>Please ensure all the white cells are filled in before submitting the form</t>
    </r>
    <r>
      <rPr>
        <b/>
        <i/>
        <sz val="12"/>
        <rFont val="Arial"/>
        <family val="0"/>
      </rPr>
      <t>.</t>
    </r>
  </si>
  <si>
    <t>Vacant dwellings where major repair works or structural alterations are required, under way or recently completed (up to twelve months).</t>
  </si>
  <si>
    <t>An unoccupied dwelling which was previously the sole or main residence of a person who has moved into a hospital or care home.</t>
  </si>
  <si>
    <r>
      <t>Total</t>
    </r>
    <r>
      <rPr>
        <vertAlign val="superscript"/>
        <sz val="11"/>
        <rFont val="Arial"/>
        <family val="2"/>
      </rPr>
      <t xml:space="preserve"> (b)</t>
    </r>
  </si>
  <si>
    <t>An unoccupied dwelling which was previously the sole or main residence of a person who is the owner or tenant and has moved to provide personal care to another person.</t>
  </si>
  <si>
    <t>This sheet has details of our validation checks.  If there are any figures in the blue boxes your form has failed our validation checks.</t>
  </si>
  <si>
    <t xml:space="preserve">Local authority contact telephone number :   </t>
  </si>
  <si>
    <t xml:space="preserve">Local authority contact fax number :   </t>
  </si>
  <si>
    <t xml:space="preserve">Local authority contact e-mail address :   </t>
  </si>
  <si>
    <t>EXEMPT CLASS</t>
  </si>
  <si>
    <t>Unoccupied dwellings owned by a charity (up to six months).</t>
  </si>
  <si>
    <t>A vacant dwelling (i.e. empty and substantially unfurnished) (up to six months).</t>
  </si>
  <si>
    <t>A dwelling left unoccupied by people who are detained e.g. in prison.</t>
  </si>
  <si>
    <t>Dwellings left empty by deceased persons.</t>
  </si>
  <si>
    <t>An unoccupied dwelling where the occupation is prohibited by law.</t>
  </si>
  <si>
    <t>H</t>
  </si>
  <si>
    <t>Unoccupied clergy dwellings</t>
  </si>
  <si>
    <t>I</t>
  </si>
  <si>
    <t>J</t>
  </si>
  <si>
    <t>K</t>
  </si>
  <si>
    <t>L</t>
  </si>
  <si>
    <t>An unoccupied dwelling which has been taken into possession by a mortgage lender.</t>
  </si>
  <si>
    <t>M</t>
  </si>
  <si>
    <t>A hall of residence provided predominantly for the accommodation of students.</t>
  </si>
  <si>
    <t>N</t>
  </si>
  <si>
    <t>O</t>
  </si>
  <si>
    <t>P</t>
  </si>
  <si>
    <t>Q</t>
  </si>
  <si>
    <t>R</t>
  </si>
  <si>
    <t>There has been a fall in numbers for most bands, although Band A has increased.</t>
  </si>
  <si>
    <t>There has been a  fall in numbers for most bands, although Band A has increased.</t>
  </si>
  <si>
    <t>Empty caravan pitches and boat moorings.</t>
  </si>
  <si>
    <t>S</t>
  </si>
  <si>
    <t>A dwelling occupied only by a person, or persons, aged under 18.</t>
  </si>
  <si>
    <t>T</t>
  </si>
  <si>
    <t>U</t>
  </si>
  <si>
    <t>V</t>
  </si>
  <si>
    <t>A dwelling in which at least one person who would otherwise be liable is a diplomat.</t>
  </si>
  <si>
    <t>W</t>
  </si>
  <si>
    <t xml:space="preserve">TOTAL </t>
  </si>
  <si>
    <t>1.</t>
  </si>
  <si>
    <t>2.</t>
  </si>
  <si>
    <t>If yes and, if known, please record in the  table below against the range of the reduced discount granted the number of properties which you estimate are affected.</t>
  </si>
  <si>
    <t>Column 1</t>
  </si>
  <si>
    <t>Column 2</t>
  </si>
  <si>
    <t>Reduced council tax discount granted</t>
  </si>
  <si>
    <t>3.</t>
  </si>
  <si>
    <t>4.</t>
  </si>
  <si>
    <t>5.</t>
  </si>
  <si>
    <t>20% -29%</t>
  </si>
  <si>
    <t>6.</t>
  </si>
  <si>
    <t>30% - 39%</t>
  </si>
  <si>
    <t>7.</t>
  </si>
  <si>
    <t>40% -49%</t>
  </si>
  <si>
    <t>Please use this space to provide any further information about decisions made by your local authority relating to the reduction of the discount for second homes or the reduction or removal of the discount for long-term empty properties (e.g. as to whether your authority's decision affects the whole or only part of its area)</t>
  </si>
  <si>
    <t>CLASS data</t>
  </si>
  <si>
    <t>Contact</t>
  </si>
  <si>
    <t>E-code</t>
  </si>
  <si>
    <t>Contact Name:</t>
  </si>
  <si>
    <t>Telephone (STD code)</t>
  </si>
  <si>
    <t>E-mail:</t>
  </si>
  <si>
    <t>If yes, please provide details (eg as to the circumstances in which your authority has reduced, or will reduce, the amount payable, any classes of case in respect of which a reduction has been, or will be granted and the reduction which you granted)</t>
  </si>
  <si>
    <t xml:space="preserve"> Please select your local authority's name from this list</t>
  </si>
  <si>
    <t>DISCOUNT DISREGARDS</t>
  </si>
  <si>
    <r>
      <t>1) Combined total of class M and class N exemptions</t>
    </r>
    <r>
      <rPr>
        <vertAlign val="superscript"/>
        <sz val="12"/>
        <rFont val="Arial"/>
        <family val="2"/>
      </rPr>
      <t xml:space="preserve"> (a) </t>
    </r>
    <r>
      <rPr>
        <sz val="12"/>
        <rFont val="Arial"/>
        <family val="0"/>
      </rPr>
      <t xml:space="preserve">as at </t>
    </r>
    <r>
      <rPr>
        <u val="single"/>
        <sz val="12"/>
        <rFont val="Arial"/>
        <family val="2"/>
      </rPr>
      <t>31 May 2007</t>
    </r>
    <r>
      <rPr>
        <sz val="12"/>
        <rFont val="Arial"/>
        <family val="0"/>
      </rPr>
      <t xml:space="preserve"> in respect of dwellings on the valuation list on
</t>
    </r>
    <r>
      <rPr>
        <u val="single"/>
        <sz val="12"/>
        <rFont val="Arial"/>
        <family val="2"/>
      </rPr>
      <t>31 May 2007</t>
    </r>
    <r>
      <rPr>
        <sz val="12"/>
        <rFont val="Arial"/>
        <family val="0"/>
      </rPr>
      <t>.</t>
    </r>
  </si>
  <si>
    <t>22. Number of dwellings included in line 2 exempt on 8 October as a result of the exceptional flooding in June or July 2007</t>
  </si>
  <si>
    <r>
      <t>Chief Financial Officer</t>
    </r>
    <r>
      <rPr>
        <sz val="14"/>
        <rFont val="Arial"/>
        <family val="2"/>
      </rPr>
      <t xml:space="preserve"> : …………………………………………………………………………………………........................................</t>
    </r>
  </si>
  <si>
    <t>Test 1</t>
  </si>
  <si>
    <t>Test 2</t>
  </si>
  <si>
    <t>Test 3</t>
  </si>
  <si>
    <t>Test 4</t>
  </si>
  <si>
    <t>Test 5</t>
  </si>
  <si>
    <t>Test 6</t>
  </si>
  <si>
    <t>Test 7</t>
  </si>
  <si>
    <t>Test 8</t>
  </si>
  <si>
    <t>Test 9</t>
  </si>
  <si>
    <t>Test 10</t>
  </si>
  <si>
    <t>Test 11</t>
  </si>
  <si>
    <t>Test 12</t>
  </si>
  <si>
    <t>Test 13</t>
  </si>
  <si>
    <t>Test 14</t>
  </si>
  <si>
    <t>Test 15</t>
  </si>
  <si>
    <t>Test 16</t>
  </si>
  <si>
    <t>Test 17</t>
  </si>
  <si>
    <t>Test 18</t>
  </si>
  <si>
    <t>Test 19</t>
  </si>
  <si>
    <t>Test 20</t>
  </si>
  <si>
    <t>Validation parameters summary</t>
  </si>
  <si>
    <t xml:space="preserve">Band A - </t>
  </si>
  <si>
    <t>Calculation of Council Tax Base for Formula Grant Purposes</t>
  </si>
  <si>
    <t>October 2007</t>
  </si>
  <si>
    <t>Ver 1.0</t>
  </si>
  <si>
    <t>White background, blue border - actual data entered by Communities and Local Government</t>
  </si>
  <si>
    <t>The signed form should be sent to Sheela Vyas,  Communities and Local Government,  Zone 5/J6,  Eland House,  Bressenden Place,  London,  SW1E 5DU</t>
  </si>
  <si>
    <t>CTB(October 2007) form for :</t>
  </si>
  <si>
    <t>Dwellings shown on the Valuation List for the authority on Monday 17 September 2007</t>
  </si>
  <si>
    <t>2. Number of dwellings on valuation list exempt on 8 October 2007 (Class A to W exemptions)</t>
  </si>
  <si>
    <t>4. Number of chargeable dwellings on 8 October 2007 (treating demolished dwellings etc as exempt) (lines 1-2-3)</t>
  </si>
  <si>
    <t>5. Number of chargeable dwellings in line 4 subject to disabled reduction on 8 October 2007</t>
  </si>
  <si>
    <t>8. Number of dwellings in line 7 entitled to a single adult household 25% discount on 8 October 2007</t>
  </si>
  <si>
    <t>9. Number of dwellings in line 7 entitled to a 25% discount on 8 October 2007 due to all but one resident being disregarded for council tax purposes</t>
  </si>
  <si>
    <t>10. Number of dwellings in line 7 entitled to a 50% discount on 8 October 2007 due to all residents being disregarded for council tax purposes</t>
  </si>
  <si>
    <t>12. Number of dwellings in line 7 classed as long-term empty and receiving a 50% discount on 8 October 2007</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</si>
</sst>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00"/>
    <numFmt numFmtId="174" formatCode="0.000000000"/>
    <numFmt numFmtId="175" formatCode="0.000000000000"/>
    <numFmt numFmtId="176" formatCode="0.000000000000000"/>
    <numFmt numFmtId="177" formatCode="&quot;£&quot;#,##0.00"/>
    <numFmt numFmtId="178" formatCode="&quot;£&quot;#,##0.00000"/>
    <numFmt numFmtId="179" formatCode="0.0"/>
    <numFmt numFmtId="180" formatCode="&quot;£&quot;#,##0.0"/>
    <numFmt numFmtId="181" formatCode="&quot;£&quot;#,##0"/>
    <numFmt numFmtId="182" formatCode="&quot;£&quot;#,##0.000"/>
    <numFmt numFmtId="183" formatCode="&quot;£&quot;#,##0.0000"/>
    <numFmt numFmtId="184" formatCode="0.00000000"/>
    <numFmt numFmtId="185" formatCode="0.0000000"/>
    <numFmt numFmtId="186" formatCode="0.00000"/>
    <numFmt numFmtId="187" formatCode="0.0000"/>
    <numFmt numFmtId="188" formatCode="0.0000000000"/>
    <numFmt numFmtId="189" formatCode="0.00000000000"/>
    <numFmt numFmtId="190" formatCode="&quot;£&quot;#,##0.000000"/>
    <numFmt numFmtId="191" formatCode="&quot;£&quot;#,##0.0_);\(&quot;£&quot;#,##0.0\)"/>
    <numFmt numFmtId="192" formatCode="0.0000000000000"/>
    <numFmt numFmtId="193" formatCode="0_)"/>
    <numFmt numFmtId="194" formatCode="m/d/yy"/>
    <numFmt numFmtId="195" formatCode="mm/dd/yy"/>
    <numFmt numFmtId="196" formatCode="#\ ?/9"/>
    <numFmt numFmtId="197" formatCode="\ ?/9"/>
    <numFmt numFmtId="198" formatCode="#,##0.0"/>
    <numFmt numFmtId="199" formatCode="0.0_)"/>
    <numFmt numFmtId="200" formatCode="0.00_)"/>
    <numFmt numFmtId="201" formatCode="0000"/>
    <numFmt numFmtId="202" formatCode="&quot;Yes&quot;;&quot;Yes&quot;;&quot;No&quot;"/>
    <numFmt numFmtId="203" formatCode="&quot;True&quot;;&quot;True&quot;;&quot;False&quot;"/>
    <numFmt numFmtId="204" formatCode="&quot;On&quot;;&quot;On&quot;;&quot;Off&quot;"/>
    <numFmt numFmtId="205" formatCode="[$€-2]\ #,##0.00_);[Red]\([$€-2]\ #,##0.00\)"/>
    <numFmt numFmtId="206" formatCode="_-* #,##0_-;\-* #,##0_-;_-* &quot;-&quot;??_-;_-@_-"/>
    <numFmt numFmtId="207" formatCode="_-* #,##0.000_-;\-* #,##0.000_-;_-* &quot;-&quot;??_-;_-@_-"/>
    <numFmt numFmtId="208" formatCode="_-* #,##0.0_-;\-* #,##0.0_-;_-* &quot;-&quot;??_-;_-@_-"/>
    <numFmt numFmtId="209" formatCode="0.0%"/>
    <numFmt numFmtId="210" formatCode="#,##0.000"/>
  </numFmts>
  <fonts count="61">
    <font>
      <sz val="10"/>
      <name val="Arial"/>
      <family val="0"/>
    </font>
    <font>
      <b/>
      <sz val="10"/>
      <name val="Arial"/>
      <family val="0"/>
    </font>
    <font>
      <i/>
      <sz val="10"/>
      <name val="Arial"/>
      <family val="0"/>
    </font>
    <font>
      <b/>
      <i/>
      <sz val="10"/>
      <name val="Arial"/>
      <family val="0"/>
    </font>
    <font>
      <b/>
      <u val="single"/>
      <sz val="10"/>
      <name val="Arial"/>
      <family val="2"/>
    </font>
    <font>
      <sz val="10"/>
      <color indexed="8"/>
      <name val="Arial"/>
      <family val="2"/>
    </font>
    <font>
      <b/>
      <sz val="16"/>
      <name val="Arial"/>
      <family val="2"/>
    </font>
    <font>
      <b/>
      <sz val="12"/>
      <name val="Arial"/>
      <family val="2"/>
    </font>
    <font>
      <b/>
      <sz val="10"/>
      <color indexed="8"/>
      <name val="Arial"/>
      <family val="0"/>
    </font>
    <font>
      <sz val="8"/>
      <name val="Tahoma"/>
      <family val="2"/>
    </font>
    <font>
      <b/>
      <sz val="18"/>
      <name val="Arial"/>
      <family val="2"/>
    </font>
    <font>
      <b/>
      <u val="single"/>
      <sz val="18"/>
      <name val="Arial"/>
      <family val="2"/>
    </font>
    <font>
      <b/>
      <sz val="14"/>
      <name val="Arial"/>
      <family val="2"/>
    </font>
    <font>
      <sz val="14"/>
      <name val="Arial"/>
      <family val="2"/>
    </font>
    <font>
      <b/>
      <sz val="11"/>
      <name val="Arial"/>
      <family val="2"/>
    </font>
    <font>
      <sz val="11"/>
      <name val="Arial"/>
      <family val="2"/>
    </font>
    <font>
      <sz val="16"/>
      <name val="Arial"/>
      <family val="2"/>
    </font>
    <font>
      <sz val="12"/>
      <name val="Arial"/>
      <family val="2"/>
    </font>
    <font>
      <b/>
      <sz val="16"/>
      <color indexed="18"/>
      <name val="Arial"/>
      <family val="2"/>
    </font>
    <font>
      <b/>
      <i/>
      <sz val="12"/>
      <name val="Arial"/>
      <family val="2"/>
    </font>
    <font>
      <sz val="10"/>
      <color indexed="10"/>
      <name val="Arial"/>
      <family val="2"/>
    </font>
    <font>
      <b/>
      <sz val="12"/>
      <color indexed="42"/>
      <name val="Arial"/>
      <family val="2"/>
    </font>
    <font>
      <i/>
      <sz val="14"/>
      <name val="Arial"/>
      <family val="2"/>
    </font>
    <font>
      <b/>
      <i/>
      <sz val="14"/>
      <name val="Arial"/>
      <family val="2"/>
    </font>
    <font>
      <b/>
      <u val="single"/>
      <sz val="14"/>
      <name val="Arial"/>
      <family val="2"/>
    </font>
    <font>
      <b/>
      <u val="single"/>
      <sz val="12"/>
      <name val="Arial"/>
      <family val="0"/>
    </font>
    <font>
      <b/>
      <i/>
      <u val="single"/>
      <sz val="12"/>
      <name val="Arial"/>
      <family val="0"/>
    </font>
    <font>
      <sz val="8"/>
      <name val="Arial"/>
      <family val="0"/>
    </font>
    <font>
      <u val="single"/>
      <sz val="12"/>
      <name val="Arial"/>
      <family val="2"/>
    </font>
    <font>
      <b/>
      <i/>
      <sz val="11"/>
      <name val="Arial"/>
      <family val="2"/>
    </font>
    <font>
      <sz val="10"/>
      <color indexed="9"/>
      <name val="Arial"/>
      <family val="2"/>
    </font>
    <font>
      <sz val="10"/>
      <color indexed="42"/>
      <name val="Arial"/>
      <family val="0"/>
    </font>
    <font>
      <b/>
      <sz val="8"/>
      <name val="Arial"/>
      <family val="2"/>
    </font>
    <font>
      <sz val="10"/>
      <color indexed="43"/>
      <name val="Arial"/>
      <family val="0"/>
    </font>
    <font>
      <i/>
      <sz val="11"/>
      <name val="Arial"/>
      <family val="2"/>
    </font>
    <font>
      <sz val="12"/>
      <color indexed="8"/>
      <name val="Arial"/>
      <family val="0"/>
    </font>
    <font>
      <vertAlign val="superscript"/>
      <sz val="12"/>
      <name val="Arial"/>
      <family val="2"/>
    </font>
    <font>
      <b/>
      <sz val="10"/>
      <color indexed="10"/>
      <name val="Arial"/>
      <family val="2"/>
    </font>
    <font>
      <u val="single"/>
      <sz val="7.5"/>
      <color indexed="12"/>
      <name val="Arial"/>
      <family val="0"/>
    </font>
    <font>
      <u val="single"/>
      <sz val="7.5"/>
      <color indexed="36"/>
      <name val="Arial"/>
      <family val="0"/>
    </font>
    <font>
      <vertAlign val="superscript"/>
      <sz val="11"/>
      <name val="Arial"/>
      <family val="2"/>
    </font>
    <font>
      <sz val="10"/>
      <color indexed="23"/>
      <name val="Arial"/>
      <family val="0"/>
    </font>
    <font>
      <b/>
      <u val="single"/>
      <sz val="16"/>
      <color indexed="23"/>
      <name val="Arial"/>
      <family val="0"/>
    </font>
    <font>
      <b/>
      <u val="single"/>
      <sz val="12"/>
      <color indexed="23"/>
      <name val="Arial"/>
      <family val="0"/>
    </font>
    <font>
      <sz val="10"/>
      <color indexed="47"/>
      <name val="Arial"/>
      <family val="0"/>
    </font>
    <font>
      <sz val="18"/>
      <color indexed="47"/>
      <name val="Arial"/>
      <family val="0"/>
    </font>
    <font>
      <b/>
      <sz val="18"/>
      <color indexed="47"/>
      <name val="Arial"/>
      <family val="0"/>
    </font>
    <font>
      <sz val="16"/>
      <color indexed="47"/>
      <name val="Arial"/>
      <family val="0"/>
    </font>
    <font>
      <b/>
      <u val="single"/>
      <sz val="12"/>
      <color indexed="9"/>
      <name val="Arial"/>
      <family val="2"/>
    </font>
    <font>
      <b/>
      <sz val="16"/>
      <color indexed="9"/>
      <name val="Arial"/>
      <family val="0"/>
    </font>
    <font>
      <b/>
      <sz val="10"/>
      <color indexed="47"/>
      <name val="Arial"/>
      <family val="0"/>
    </font>
    <font>
      <b/>
      <sz val="14"/>
      <name val="Tahoma"/>
      <family val="2"/>
    </font>
    <font>
      <sz val="10"/>
      <color indexed="22"/>
      <name val="Arial"/>
      <family val="0"/>
    </font>
    <font>
      <b/>
      <sz val="12"/>
      <color indexed="22"/>
      <name val="Arial"/>
      <family val="0"/>
    </font>
    <font>
      <b/>
      <sz val="10"/>
      <color indexed="22"/>
      <name val="Arial"/>
      <family val="0"/>
    </font>
    <font>
      <b/>
      <sz val="12"/>
      <color indexed="10"/>
      <name val="Arial"/>
      <family val="2"/>
    </font>
    <font>
      <sz val="12"/>
      <color indexed="22"/>
      <name val="Arial"/>
      <family val="0"/>
    </font>
    <font>
      <sz val="9"/>
      <color indexed="22"/>
      <name val="Arial"/>
      <family val="0"/>
    </font>
    <font>
      <b/>
      <sz val="12"/>
      <color indexed="26"/>
      <name val="Arial"/>
      <family val="2"/>
    </font>
    <font>
      <sz val="12"/>
      <color indexed="26"/>
      <name val="Arial"/>
      <family val="2"/>
    </font>
    <font>
      <b/>
      <sz val="10"/>
      <name val="Times New Roman"/>
      <family val="0"/>
    </font>
  </fonts>
  <fills count="1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22"/>
        <bgColor indexed="64"/>
      </patternFill>
    </fill>
    <fill>
      <patternFill patternType="solid">
        <fgColor indexed="23"/>
        <bgColor indexed="64"/>
      </patternFill>
    </fill>
    <fill>
      <patternFill patternType="solid">
        <fgColor indexed="15"/>
        <bgColor indexed="64"/>
      </patternFill>
    </fill>
    <fill>
      <patternFill patternType="solid">
        <fgColor indexed="17"/>
        <bgColor indexed="64"/>
      </patternFill>
    </fill>
  </fills>
  <borders count="56">
    <border>
      <left/>
      <right/>
      <top/>
      <bottom/>
      <diagonal/>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ck"/>
      <right style="thick"/>
      <top style="thick"/>
      <bottom style="thick"/>
    </border>
    <border>
      <left style="thick">
        <color indexed="39"/>
      </left>
      <right style="thick">
        <color indexed="39"/>
      </right>
      <top style="thick">
        <color indexed="39"/>
      </top>
      <bottom style="thick">
        <color indexed="39"/>
      </bottom>
    </border>
    <border>
      <left>
        <color indexed="63"/>
      </left>
      <right>
        <color indexed="63"/>
      </right>
      <top style="medium"/>
      <bottom style="medium"/>
    </border>
    <border>
      <left style="thin"/>
      <right style="thin"/>
      <top style="thin"/>
      <bottom style="thin"/>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medium"/>
    </border>
    <border>
      <left style="thick">
        <color indexed="17"/>
      </left>
      <right style="thick">
        <color indexed="17"/>
      </right>
      <top style="thick">
        <color indexed="17"/>
      </top>
      <bottom style="thick">
        <color indexed="17"/>
      </bottom>
    </border>
    <border>
      <left style="medium">
        <color indexed="17"/>
      </left>
      <right style="medium">
        <color indexed="17"/>
      </right>
      <top style="medium">
        <color indexed="17"/>
      </top>
      <bottom style="medium">
        <color indexed="17"/>
      </bottom>
    </border>
    <border>
      <left>
        <color indexed="63"/>
      </left>
      <right style="medium">
        <color indexed="17"/>
      </right>
      <top style="medium">
        <color indexed="17"/>
      </top>
      <bottom style="medium">
        <color indexed="17"/>
      </bottom>
    </border>
    <border>
      <left style="medium">
        <color indexed="12"/>
      </left>
      <right style="medium">
        <color indexed="12"/>
      </right>
      <top style="medium">
        <color indexed="12"/>
      </top>
      <bottom style="medium">
        <color indexed="12"/>
      </bottom>
    </border>
    <border>
      <left style="medium">
        <color indexed="10"/>
      </left>
      <right style="medium">
        <color indexed="17"/>
      </right>
      <top style="medium">
        <color indexed="17"/>
      </top>
      <bottom style="medium">
        <color indexed="17"/>
      </bottom>
    </border>
    <border>
      <left style="medium"/>
      <right style="medium">
        <color indexed="17"/>
      </right>
      <top style="medium">
        <color indexed="17"/>
      </top>
      <bottom style="medium">
        <color indexed="17"/>
      </bottom>
    </border>
    <border>
      <left style="medium">
        <color indexed="17"/>
      </left>
      <right>
        <color indexed="63"/>
      </right>
      <top style="medium">
        <color indexed="17"/>
      </top>
      <bottom style="medium">
        <color indexed="17"/>
      </bottom>
    </border>
    <border>
      <left>
        <color indexed="63"/>
      </left>
      <right>
        <color indexed="63"/>
      </right>
      <top style="thin"/>
      <bottom style="medium"/>
    </border>
    <border>
      <left style="thin">
        <color indexed="8"/>
      </left>
      <right style="thin">
        <color indexed="8"/>
      </right>
      <top>
        <color indexed="63"/>
      </top>
      <bottom>
        <color indexed="63"/>
      </bottom>
    </border>
    <border>
      <left style="thin"/>
      <right>
        <color indexed="63"/>
      </right>
      <top style="medium"/>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color indexed="63"/>
      </left>
      <right style="medium"/>
      <top style="medium"/>
      <bottom style="medium"/>
    </border>
    <border>
      <left>
        <color indexed="63"/>
      </left>
      <right>
        <color indexed="63"/>
      </right>
      <top>
        <color indexed="63"/>
      </top>
      <bottom style="medium">
        <color indexed="10"/>
      </bottom>
    </border>
    <border>
      <left style="medium">
        <color indexed="17"/>
      </left>
      <right>
        <color indexed="63"/>
      </right>
      <top style="medium">
        <color indexed="17"/>
      </top>
      <bottom style="medium"/>
    </border>
    <border>
      <left>
        <color indexed="63"/>
      </left>
      <right style="medium">
        <color indexed="17"/>
      </right>
      <top style="medium">
        <color indexed="17"/>
      </top>
      <bottom style="medium"/>
    </border>
    <border>
      <left>
        <color indexed="63"/>
      </left>
      <right>
        <color indexed="63"/>
      </right>
      <top style="medium"/>
      <bottom style="double"/>
    </border>
    <border>
      <left style="medium"/>
      <right>
        <color indexed="63"/>
      </right>
      <top style="thin"/>
      <bottom style="medium"/>
    </border>
    <border>
      <left>
        <color indexed="63"/>
      </left>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9" fontId="0" fillId="0" borderId="0" applyFont="0" applyFill="0" applyBorder="0" applyAlignment="0" applyProtection="0"/>
  </cellStyleXfs>
  <cellXfs count="856">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0" fillId="0" borderId="0" xfId="0" applyAlignment="1">
      <alignment horizontal="center"/>
    </xf>
    <xf numFmtId="0" fontId="0" fillId="0" borderId="0" xfId="0" applyBorder="1" applyAlignment="1">
      <alignment/>
    </xf>
    <xf numFmtId="0" fontId="0" fillId="3" borderId="0" xfId="0" applyFill="1" applyBorder="1" applyAlignment="1">
      <alignment/>
    </xf>
    <xf numFmtId="0" fontId="0" fillId="3" borderId="0" xfId="0" applyFill="1" applyAlignment="1">
      <alignment/>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0" xfId="0" applyFill="1" applyBorder="1" applyAlignment="1">
      <alignment/>
    </xf>
    <xf numFmtId="0" fontId="0" fillId="4" borderId="6" xfId="0" applyFill="1" applyBorder="1" applyAlignment="1">
      <alignment/>
    </xf>
    <xf numFmtId="0" fontId="0" fillId="4" borderId="1" xfId="0" applyFill="1" applyBorder="1" applyAlignment="1">
      <alignment/>
    </xf>
    <xf numFmtId="0" fontId="0" fillId="4" borderId="2" xfId="0" applyFill="1" applyBorder="1" applyAlignment="1">
      <alignment/>
    </xf>
    <xf numFmtId="0" fontId="0" fillId="4" borderId="0" xfId="0" applyFill="1" applyBorder="1" applyAlignment="1">
      <alignment/>
    </xf>
    <xf numFmtId="0" fontId="0" fillId="4" borderId="7" xfId="0" applyFill="1" applyBorder="1" applyAlignment="1">
      <alignment/>
    </xf>
    <xf numFmtId="0" fontId="4" fillId="4" borderId="7" xfId="0" applyFont="1" applyFill="1" applyBorder="1" applyAlignment="1">
      <alignment horizontal="center"/>
    </xf>
    <xf numFmtId="0" fontId="4" fillId="4" borderId="0" xfId="0" applyFont="1" applyFill="1" applyBorder="1" applyAlignment="1">
      <alignment/>
    </xf>
    <xf numFmtId="0" fontId="0" fillId="4" borderId="8" xfId="0" applyFill="1" applyBorder="1" applyAlignment="1">
      <alignment horizontal="center"/>
    </xf>
    <xf numFmtId="0" fontId="4" fillId="4" borderId="8" xfId="0" applyFont="1" applyFill="1" applyBorder="1" applyAlignment="1">
      <alignment horizontal="center"/>
    </xf>
    <xf numFmtId="0" fontId="0" fillId="2" borderId="9" xfId="0" applyFill="1" applyBorder="1" applyAlignment="1">
      <alignment horizontal="center"/>
    </xf>
    <xf numFmtId="3" fontId="0" fillId="4" borderId="7" xfId="0" applyNumberFormat="1" applyFont="1" applyFill="1" applyBorder="1" applyAlignment="1">
      <alignment/>
    </xf>
    <xf numFmtId="0" fontId="17" fillId="2" borderId="7" xfId="0" applyFont="1" applyFill="1" applyBorder="1" applyAlignment="1">
      <alignment horizontal="center"/>
    </xf>
    <xf numFmtId="0" fontId="17" fillId="2" borderId="0" xfId="0" applyFont="1" applyFill="1" applyBorder="1" applyAlignment="1">
      <alignment/>
    </xf>
    <xf numFmtId="0" fontId="17" fillId="2" borderId="8" xfId="0" applyFont="1" applyFill="1" applyBorder="1" applyAlignment="1">
      <alignment horizontal="center"/>
    </xf>
    <xf numFmtId="0" fontId="0" fillId="4" borderId="0" xfId="0" applyFill="1" applyAlignment="1">
      <alignment/>
    </xf>
    <xf numFmtId="0" fontId="0" fillId="4" borderId="10" xfId="0" applyFill="1" applyBorder="1" applyAlignment="1">
      <alignment/>
    </xf>
    <xf numFmtId="0" fontId="1" fillId="4" borderId="0" xfId="0" applyFont="1" applyFill="1" applyAlignment="1">
      <alignment horizontal="center"/>
    </xf>
    <xf numFmtId="0" fontId="1" fillId="4" borderId="7" xfId="0" applyFont="1" applyFill="1" applyBorder="1" applyAlignment="1">
      <alignment horizontal="center"/>
    </xf>
    <xf numFmtId="0" fontId="1" fillId="4" borderId="7" xfId="0" applyFont="1" applyFill="1" applyBorder="1" applyAlignment="1">
      <alignment/>
    </xf>
    <xf numFmtId="0" fontId="0" fillId="4" borderId="11" xfId="0" applyFill="1" applyBorder="1" applyAlignment="1">
      <alignment horizontal="center"/>
    </xf>
    <xf numFmtId="0" fontId="1" fillId="4" borderId="1" xfId="0" applyFont="1" applyFill="1" applyBorder="1" applyAlignment="1">
      <alignment horizontal="center"/>
    </xf>
    <xf numFmtId="0" fontId="1" fillId="4" borderId="2" xfId="0" applyFont="1" applyFill="1" applyBorder="1" applyAlignment="1">
      <alignment horizontal="center"/>
    </xf>
    <xf numFmtId="0" fontId="0" fillId="4" borderId="12" xfId="0" applyFill="1" applyBorder="1" applyAlignment="1">
      <alignment/>
    </xf>
    <xf numFmtId="0" fontId="0" fillId="4" borderId="2" xfId="0" applyFill="1" applyBorder="1" applyAlignment="1">
      <alignment horizontal="center"/>
    </xf>
    <xf numFmtId="0" fontId="0" fillId="2" borderId="11" xfId="0" applyFill="1" applyBorder="1" applyAlignment="1">
      <alignment/>
    </xf>
    <xf numFmtId="0" fontId="1" fillId="4" borderId="4" xfId="0" applyFont="1" applyFill="1" applyBorder="1" applyAlignment="1">
      <alignment/>
    </xf>
    <xf numFmtId="0" fontId="1" fillId="4" borderId="0" xfId="0" applyFont="1" applyFill="1" applyBorder="1" applyAlignment="1">
      <alignment horizontal="center"/>
    </xf>
    <xf numFmtId="0" fontId="1" fillId="4" borderId="6" xfId="0" applyFont="1" applyFill="1" applyBorder="1" applyAlignment="1">
      <alignment horizontal="center"/>
    </xf>
    <xf numFmtId="0" fontId="1" fillId="4" borderId="11" xfId="0" applyFont="1" applyFill="1" applyBorder="1" applyAlignment="1">
      <alignment horizontal="center"/>
    </xf>
    <xf numFmtId="0" fontId="0" fillId="0" borderId="2" xfId="0" applyBorder="1" applyAlignment="1">
      <alignment/>
    </xf>
    <xf numFmtId="0" fontId="0" fillId="0" borderId="11" xfId="0" applyBorder="1" applyAlignment="1">
      <alignment/>
    </xf>
    <xf numFmtId="0" fontId="0" fillId="0" borderId="6" xfId="0" applyBorder="1" applyAlignment="1">
      <alignment/>
    </xf>
    <xf numFmtId="0" fontId="0" fillId="2" borderId="12" xfId="0" applyFill="1" applyBorder="1" applyAlignment="1">
      <alignment/>
    </xf>
    <xf numFmtId="0" fontId="20" fillId="4" borderId="0" xfId="0" applyFont="1" applyFill="1" applyAlignment="1">
      <alignment/>
    </xf>
    <xf numFmtId="0" fontId="0" fillId="2" borderId="0" xfId="0" applyFill="1" applyBorder="1" applyAlignment="1">
      <alignment/>
    </xf>
    <xf numFmtId="0" fontId="0" fillId="2" borderId="6" xfId="0" applyFill="1" applyBorder="1" applyAlignment="1">
      <alignment/>
    </xf>
    <xf numFmtId="0" fontId="20" fillId="4" borderId="0" xfId="0" applyFont="1" applyFill="1" applyBorder="1" applyAlignment="1">
      <alignment/>
    </xf>
    <xf numFmtId="0" fontId="0" fillId="2" borderId="3" xfId="0" applyFill="1" applyBorder="1" applyAlignment="1" applyProtection="1">
      <alignment/>
      <protection locked="0"/>
    </xf>
    <xf numFmtId="3" fontId="12" fillId="5" borderId="13" xfId="0" applyNumberFormat="1" applyFont="1" applyFill="1" applyBorder="1" applyAlignment="1" applyProtection="1">
      <alignment vertical="center"/>
      <protection/>
    </xf>
    <xf numFmtId="3" fontId="12" fillId="3" borderId="13" xfId="0" applyNumberFormat="1" applyFont="1" applyFill="1" applyBorder="1" applyAlignment="1" applyProtection="1">
      <alignment vertical="center"/>
      <protection locked="0"/>
    </xf>
    <xf numFmtId="3" fontId="12" fillId="5" borderId="14" xfId="0" applyNumberFormat="1" applyFont="1" applyFill="1" applyBorder="1" applyAlignment="1" applyProtection="1">
      <alignment vertical="center"/>
      <protection/>
    </xf>
    <xf numFmtId="2" fontId="1" fillId="2" borderId="0" xfId="0" applyNumberFormat="1" applyFont="1" applyFill="1" applyBorder="1" applyAlignment="1" applyProtection="1">
      <alignment vertical="center"/>
      <protection/>
    </xf>
    <xf numFmtId="198" fontId="12" fillId="3" borderId="13" xfId="0" applyNumberFormat="1" applyFont="1" applyFill="1" applyBorder="1" applyAlignment="1" applyProtection="1">
      <alignment vertical="center"/>
      <protection locked="0"/>
    </xf>
    <xf numFmtId="0" fontId="0" fillId="4" borderId="3" xfId="0" applyFill="1" applyBorder="1" applyAlignment="1" applyProtection="1">
      <alignment vertical="center"/>
      <protection/>
    </xf>
    <xf numFmtId="0" fontId="0" fillId="4" borderId="4" xfId="0" applyFill="1" applyBorder="1" applyAlignment="1" applyProtection="1">
      <alignment vertical="center"/>
      <protection/>
    </xf>
    <xf numFmtId="0" fontId="0" fillId="4" borderId="5" xfId="0" applyFill="1" applyBorder="1" applyAlignment="1" applyProtection="1">
      <alignment vertical="center"/>
      <protection/>
    </xf>
    <xf numFmtId="0" fontId="0" fillId="0" borderId="0" xfId="0" applyAlignment="1" applyProtection="1">
      <alignment vertical="center"/>
      <protection/>
    </xf>
    <xf numFmtId="0" fontId="12" fillId="4" borderId="7" xfId="0" applyFont="1" applyFill="1" applyBorder="1" applyAlignment="1" applyProtection="1">
      <alignment vertical="center"/>
      <protection/>
    </xf>
    <xf numFmtId="0" fontId="12" fillId="4" borderId="0" xfId="0" applyFont="1" applyFill="1" applyBorder="1" applyAlignment="1" applyProtection="1">
      <alignment vertical="center"/>
      <protection/>
    </xf>
    <xf numFmtId="0" fontId="0" fillId="4" borderId="1" xfId="0" applyFill="1" applyBorder="1" applyAlignment="1" applyProtection="1">
      <alignment vertical="center"/>
      <protection/>
    </xf>
    <xf numFmtId="0" fontId="0" fillId="4" borderId="2" xfId="0" applyFill="1" applyBorder="1" applyAlignment="1" applyProtection="1">
      <alignment vertical="center"/>
      <protection/>
    </xf>
    <xf numFmtId="0" fontId="0" fillId="4" borderId="11" xfId="0"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ill="1" applyAlignment="1" applyProtection="1">
      <alignment vertical="center"/>
      <protection/>
    </xf>
    <xf numFmtId="0" fontId="17" fillId="0" borderId="0" xfId="0" applyFont="1" applyFill="1" applyBorder="1" applyAlignment="1" applyProtection="1">
      <alignment vertical="center"/>
      <protection/>
    </xf>
    <xf numFmtId="1" fontId="18" fillId="6" borderId="13" xfId="0" applyNumberFormat="1" applyFont="1" applyFill="1" applyBorder="1" applyAlignment="1" applyProtection="1">
      <alignment vertical="center"/>
      <protection/>
    </xf>
    <xf numFmtId="0" fontId="0" fillId="3" borderId="0" xfId="0" applyFill="1" applyAlignment="1" applyProtection="1">
      <alignment vertical="center"/>
      <protection/>
    </xf>
    <xf numFmtId="0" fontId="0" fillId="0" borderId="0" xfId="0" applyFill="1" applyBorder="1" applyAlignment="1" applyProtection="1">
      <alignment vertical="center"/>
      <protection/>
    </xf>
    <xf numFmtId="1" fontId="18" fillId="0" borderId="0" xfId="0" applyNumberFormat="1" applyFont="1" applyFill="1" applyBorder="1" applyAlignment="1" applyProtection="1">
      <alignment vertical="center"/>
      <protection/>
    </xf>
    <xf numFmtId="0" fontId="0" fillId="0" borderId="0" xfId="0" applyFill="1" applyBorder="1" applyAlignment="1" applyProtection="1">
      <alignment vertical="center"/>
      <protection locked="0"/>
    </xf>
    <xf numFmtId="0" fontId="15" fillId="0" borderId="0" xfId="0" applyFont="1" applyBorder="1" applyAlignment="1" applyProtection="1">
      <alignment vertical="center"/>
      <protection/>
    </xf>
    <xf numFmtId="0" fontId="20" fillId="4" borderId="10" xfId="0" applyFont="1" applyFill="1" applyBorder="1" applyAlignment="1">
      <alignment/>
    </xf>
    <xf numFmtId="2" fontId="0" fillId="0" borderId="0" xfId="0" applyNumberFormat="1" applyFont="1" applyFill="1" applyBorder="1" applyAlignment="1" applyProtection="1">
      <alignment horizontal="right" vertical="center"/>
      <protection/>
    </xf>
    <xf numFmtId="1" fontId="18" fillId="6" borderId="13" xfId="0" applyNumberFormat="1" applyFont="1" applyFill="1" applyBorder="1" applyAlignment="1" applyProtection="1">
      <alignment horizontal="right" vertical="center"/>
      <protection/>
    </xf>
    <xf numFmtId="2" fontId="18" fillId="6" borderId="13" xfId="0" applyNumberFormat="1" applyFont="1" applyFill="1" applyBorder="1" applyAlignment="1" applyProtection="1">
      <alignment horizontal="right" vertical="center"/>
      <protection/>
    </xf>
    <xf numFmtId="1" fontId="18" fillId="0" borderId="0" xfId="0" applyNumberFormat="1" applyFont="1" applyFill="1" applyBorder="1" applyAlignment="1" applyProtection="1">
      <alignment horizontal="right" vertical="center"/>
      <protection/>
    </xf>
    <xf numFmtId="2" fontId="18"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2" fontId="0" fillId="0" borderId="0" xfId="0" applyNumberFormat="1" applyFont="1" applyFill="1" applyBorder="1" applyAlignment="1" applyProtection="1">
      <alignment horizontal="right" vertical="center"/>
      <protection/>
    </xf>
    <xf numFmtId="0" fontId="14" fillId="0" borderId="0" xfId="0" applyFont="1" applyBorder="1" applyAlignment="1" applyProtection="1">
      <alignment vertical="center"/>
      <protection/>
    </xf>
    <xf numFmtId="2" fontId="0" fillId="0" borderId="0" xfId="0" applyNumberFormat="1" applyFill="1" applyBorder="1" applyAlignment="1" applyProtection="1">
      <alignment horizontal="right" vertical="center"/>
      <protection/>
    </xf>
    <xf numFmtId="1" fontId="0" fillId="0" borderId="0" xfId="0" applyNumberFormat="1" applyFill="1" applyBorder="1" applyAlignment="1" applyProtection="1">
      <alignment horizontal="right" vertical="center"/>
      <protection/>
    </xf>
    <xf numFmtId="1" fontId="18" fillId="0" borderId="6" xfId="0" applyNumberFormat="1" applyFont="1" applyFill="1" applyBorder="1" applyAlignment="1" applyProtection="1">
      <alignment horizontal="right" vertical="center"/>
      <protection/>
    </xf>
    <xf numFmtId="0" fontId="0" fillId="0" borderId="0" xfId="0" applyBorder="1" applyAlignment="1" applyProtection="1">
      <alignment vertical="center"/>
      <protection/>
    </xf>
    <xf numFmtId="0" fontId="0" fillId="0" borderId="0" xfId="0" applyAlignment="1" applyProtection="1">
      <alignment/>
      <protection/>
    </xf>
    <xf numFmtId="1" fontId="18" fillId="6" borderId="13" xfId="0" applyNumberFormat="1" applyFont="1" applyFill="1" applyBorder="1" applyAlignment="1" applyProtection="1">
      <alignment/>
      <protection/>
    </xf>
    <xf numFmtId="1" fontId="0" fillId="0" borderId="0" xfId="0" applyNumberFormat="1" applyFont="1" applyFill="1" applyBorder="1" applyAlignment="1" applyProtection="1">
      <alignment horizontal="right" vertical="center"/>
      <protection/>
    </xf>
    <xf numFmtId="1" fontId="0" fillId="0" borderId="0" xfId="0" applyNumberFormat="1" applyFill="1" applyBorder="1" applyAlignment="1">
      <alignment/>
    </xf>
    <xf numFmtId="1" fontId="18" fillId="0" borderId="6" xfId="0" applyNumberFormat="1" applyFont="1" applyFill="1" applyBorder="1" applyAlignment="1" applyProtection="1">
      <alignment/>
      <protection/>
    </xf>
    <xf numFmtId="2" fontId="0" fillId="0" borderId="0" xfId="0" applyNumberFormat="1" applyBorder="1" applyAlignment="1" applyProtection="1">
      <alignment vertical="center"/>
      <protection/>
    </xf>
    <xf numFmtId="0" fontId="7" fillId="0" borderId="0" xfId="0" applyFont="1" applyBorder="1" applyAlignment="1" applyProtection="1">
      <alignment vertical="center"/>
      <protection/>
    </xf>
    <xf numFmtId="0" fontId="0" fillId="0" borderId="0" xfId="0" applyBorder="1" applyAlignment="1" applyProtection="1">
      <alignment vertical="center"/>
      <protection locked="0"/>
    </xf>
    <xf numFmtId="1" fontId="0" fillId="0" borderId="0" xfId="0" applyNumberFormat="1" applyBorder="1" applyAlignment="1" applyProtection="1">
      <alignment horizontal="right" vertical="center"/>
      <protection/>
    </xf>
    <xf numFmtId="0" fontId="17"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0" fillId="3" borderId="0" xfId="0" applyFill="1" applyBorder="1" applyAlignment="1" applyProtection="1">
      <alignment vertical="center"/>
      <protection/>
    </xf>
    <xf numFmtId="2" fontId="0" fillId="0" borderId="0" xfId="0" applyNumberFormat="1" applyBorder="1" applyAlignment="1" applyProtection="1">
      <alignment horizontal="right" vertical="center"/>
      <protection/>
    </xf>
    <xf numFmtId="1" fontId="0" fillId="0" borderId="0" xfId="0" applyNumberFormat="1" applyBorder="1" applyAlignment="1">
      <alignment/>
    </xf>
    <xf numFmtId="0" fontId="12" fillId="0" borderId="0" xfId="0" applyFont="1" applyBorder="1" applyAlignment="1" applyProtection="1">
      <alignment vertical="center"/>
      <protection/>
    </xf>
    <xf numFmtId="1" fontId="0" fillId="0" borderId="0" xfId="0" applyNumberFormat="1" applyFont="1" applyBorder="1" applyAlignment="1" applyProtection="1">
      <alignment horizontal="right" vertical="center"/>
      <protection/>
    </xf>
    <xf numFmtId="0" fontId="0" fillId="0" borderId="0" xfId="0" applyBorder="1" applyAlignment="1" applyProtection="1" quotePrefix="1">
      <alignment vertical="center"/>
      <protection/>
    </xf>
    <xf numFmtId="0" fontId="17" fillId="0" borderId="0" xfId="0" applyFont="1" applyBorder="1" applyAlignment="1" applyProtection="1">
      <alignment horizontal="right" vertical="center"/>
      <protection/>
    </xf>
    <xf numFmtId="0" fontId="0" fillId="0" borderId="0" xfId="0" applyFill="1" applyBorder="1" applyAlignment="1" applyProtection="1" quotePrefix="1">
      <alignment vertical="center"/>
      <protection/>
    </xf>
    <xf numFmtId="1" fontId="0" fillId="0" borderId="0" xfId="0" applyNumberFormat="1" applyFill="1" applyBorder="1" applyAlignment="1" applyProtection="1">
      <alignment vertical="center"/>
      <protection/>
    </xf>
    <xf numFmtId="0" fontId="0" fillId="4" borderId="4" xfId="0" applyFill="1" applyBorder="1" applyAlignment="1" applyProtection="1">
      <alignment horizontal="right" vertical="center"/>
      <protection/>
    </xf>
    <xf numFmtId="0" fontId="12" fillId="4" borderId="13" xfId="0" applyFont="1" applyFill="1" applyBorder="1" applyAlignment="1" applyProtection="1">
      <alignment horizontal="right" vertical="center"/>
      <protection/>
    </xf>
    <xf numFmtId="0" fontId="0" fillId="4" borderId="2" xfId="0" applyFill="1" applyBorder="1" applyAlignment="1" applyProtection="1">
      <alignment horizontal="right" vertical="center"/>
      <protection/>
    </xf>
    <xf numFmtId="0" fontId="17" fillId="0" borderId="0" xfId="0" applyFont="1" applyFill="1" applyBorder="1" applyAlignment="1" applyProtection="1">
      <alignment horizontal="right" vertical="center"/>
      <protection/>
    </xf>
    <xf numFmtId="0" fontId="14" fillId="0" borderId="0" xfId="0" applyFont="1" applyBorder="1" applyAlignment="1" applyProtection="1">
      <alignment horizontal="right" vertical="center"/>
      <protection/>
    </xf>
    <xf numFmtId="0" fontId="15" fillId="0" borderId="0" xfId="0" applyFont="1" applyBorder="1" applyAlignment="1" applyProtection="1">
      <alignment horizontal="right" vertical="center"/>
      <protection/>
    </xf>
    <xf numFmtId="0" fontId="15" fillId="0" borderId="6" xfId="0" applyFont="1" applyBorder="1" applyAlignment="1" applyProtection="1">
      <alignment horizontal="right" vertical="center"/>
      <protection/>
    </xf>
    <xf numFmtId="0" fontId="15" fillId="0" borderId="0" xfId="0" applyFont="1" applyFill="1" applyBorder="1" applyAlignment="1" applyProtection="1">
      <alignment horizontal="right" vertical="center"/>
      <protection/>
    </xf>
    <xf numFmtId="0" fontId="0" fillId="0" borderId="0" xfId="0" applyAlignment="1" applyProtection="1">
      <alignment horizontal="right" vertical="center"/>
      <protection/>
    </xf>
    <xf numFmtId="0" fontId="0" fillId="0" borderId="0" xfId="0" applyFont="1" applyBorder="1" applyAlignment="1" applyProtection="1">
      <alignment vertical="center"/>
      <protection/>
    </xf>
    <xf numFmtId="1" fontId="0" fillId="0" borderId="0" xfId="0" applyNumberFormat="1" applyFont="1" applyBorder="1" applyAlignment="1" applyProtection="1">
      <alignment vertical="center"/>
      <protection/>
    </xf>
    <xf numFmtId="1" fontId="0" fillId="0" borderId="0" xfId="0" applyNumberFormat="1" applyFont="1" applyFill="1" applyBorder="1" applyAlignment="1" applyProtection="1">
      <alignment horizontal="right" vertical="center"/>
      <protection/>
    </xf>
    <xf numFmtId="0" fontId="1" fillId="4" borderId="15" xfId="0" applyFont="1" applyFill="1" applyBorder="1" applyAlignment="1">
      <alignment horizontal="center"/>
    </xf>
    <xf numFmtId="0" fontId="1" fillId="4" borderId="16" xfId="0" applyFont="1" applyFill="1" applyBorder="1" applyAlignment="1">
      <alignment horizontal="center"/>
    </xf>
    <xf numFmtId="0" fontId="1" fillId="4" borderId="17" xfId="0" applyFont="1" applyFill="1" applyBorder="1" applyAlignment="1">
      <alignment horizontal="center"/>
    </xf>
    <xf numFmtId="0" fontId="7" fillId="0" borderId="0" xfId="0" applyFont="1" applyBorder="1" applyAlignment="1">
      <alignment/>
    </xf>
    <xf numFmtId="201" fontId="7" fillId="0" borderId="0" xfId="0" applyNumberFormat="1" applyFont="1" applyBorder="1" applyAlignment="1">
      <alignment/>
    </xf>
    <xf numFmtId="0" fontId="0" fillId="0" borderId="0" xfId="0" applyBorder="1" applyAlignment="1">
      <alignment horizontal="center"/>
    </xf>
    <xf numFmtId="3" fontId="5" fillId="0" borderId="0" xfId="0" applyNumberFormat="1" applyFont="1" applyBorder="1" applyAlignment="1">
      <alignment horizontal="right"/>
    </xf>
    <xf numFmtId="3" fontId="1" fillId="0" borderId="0" xfId="0" applyNumberFormat="1" applyFont="1" applyBorder="1" applyAlignment="1">
      <alignment/>
    </xf>
    <xf numFmtId="3" fontId="0" fillId="0" borderId="0" xfId="0" applyNumberFormat="1" applyFont="1" applyBorder="1" applyAlignment="1">
      <alignment horizontal="right"/>
    </xf>
    <xf numFmtId="3" fontId="5" fillId="0" borderId="0" xfId="0" applyNumberFormat="1" applyFont="1" applyBorder="1" applyAlignment="1" applyProtection="1">
      <alignment horizontal="right"/>
      <protection locked="0"/>
    </xf>
    <xf numFmtId="3" fontId="5"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3" fontId="5" fillId="0" borderId="0" xfId="0" applyNumberFormat="1" applyFont="1" applyBorder="1" applyAlignment="1" applyProtection="1">
      <alignment/>
      <protection locked="0"/>
    </xf>
    <xf numFmtId="3" fontId="0" fillId="0" borderId="0" xfId="0" applyNumberFormat="1" applyFont="1" applyBorder="1" applyAlignment="1">
      <alignment/>
    </xf>
    <xf numFmtId="3" fontId="0" fillId="0" borderId="0" xfId="0" applyNumberFormat="1" applyFont="1" applyBorder="1" applyAlignment="1" applyProtection="1">
      <alignment horizontal="right"/>
      <protection locked="0"/>
    </xf>
    <xf numFmtId="0" fontId="7" fillId="0" borderId="0" xfId="0" applyFont="1" applyFill="1" applyBorder="1" applyAlignment="1">
      <alignment/>
    </xf>
    <xf numFmtId="0" fontId="17" fillId="2" borderId="0" xfId="0" applyFont="1" applyFill="1" applyBorder="1" applyAlignment="1" applyProtection="1">
      <alignment/>
      <protection locked="0"/>
    </xf>
    <xf numFmtId="0" fontId="16" fillId="4" borderId="0" xfId="0" applyFont="1" applyFill="1" applyBorder="1" applyAlignment="1">
      <alignment horizontal="centerContinuous"/>
    </xf>
    <xf numFmtId="0" fontId="16" fillId="4" borderId="6" xfId="0" applyFont="1" applyFill="1" applyBorder="1" applyAlignment="1">
      <alignment horizontal="centerContinuous"/>
    </xf>
    <xf numFmtId="0" fontId="16" fillId="0" borderId="0" xfId="0" applyFont="1" applyAlignment="1">
      <alignment/>
    </xf>
    <xf numFmtId="0" fontId="24" fillId="4" borderId="7" xfId="0" applyFont="1" applyFill="1" applyBorder="1" applyAlignment="1">
      <alignment horizontal="centerContinuous"/>
    </xf>
    <xf numFmtId="0" fontId="17" fillId="3" borderId="0" xfId="0" applyFont="1" applyFill="1" applyAlignment="1">
      <alignment/>
    </xf>
    <xf numFmtId="0" fontId="17" fillId="7" borderId="4" xfId="0" applyFont="1" applyFill="1" applyBorder="1" applyAlignment="1">
      <alignment/>
    </xf>
    <xf numFmtId="0" fontId="17" fillId="0" borderId="0" xfId="0" applyFont="1" applyAlignment="1">
      <alignment/>
    </xf>
    <xf numFmtId="0" fontId="17" fillId="4" borderId="7" xfId="0" applyFont="1" applyFill="1" applyBorder="1" applyAlignment="1">
      <alignment/>
    </xf>
    <xf numFmtId="0" fontId="17" fillId="4" borderId="0" xfId="0" applyFont="1" applyFill="1" applyBorder="1" applyAlignment="1">
      <alignment/>
    </xf>
    <xf numFmtId="0" fontId="17" fillId="4" borderId="6" xfId="0" applyFont="1" applyFill="1" applyBorder="1" applyAlignment="1">
      <alignment/>
    </xf>
    <xf numFmtId="0" fontId="7" fillId="4" borderId="7" xfId="0" applyFont="1" applyFill="1" applyBorder="1" applyAlignment="1">
      <alignment horizontal="center"/>
    </xf>
    <xf numFmtId="0" fontId="7" fillId="4" borderId="0" xfId="0" applyFont="1" applyFill="1" applyBorder="1" applyAlignment="1">
      <alignment horizontal="center"/>
    </xf>
    <xf numFmtId="0" fontId="7" fillId="4" borderId="6" xfId="0" applyFont="1" applyFill="1" applyBorder="1" applyAlignment="1">
      <alignment horizontal="center"/>
    </xf>
    <xf numFmtId="0" fontId="7" fillId="4" borderId="7"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0" xfId="0" applyFont="1" applyAlignment="1">
      <alignment/>
    </xf>
    <xf numFmtId="0" fontId="17" fillId="4" borderId="1" xfId="0" applyFont="1" applyFill="1" applyBorder="1" applyAlignment="1">
      <alignment/>
    </xf>
    <xf numFmtId="0" fontId="17" fillId="4" borderId="2" xfId="0" applyFont="1" applyFill="1" applyBorder="1" applyAlignment="1">
      <alignment/>
    </xf>
    <xf numFmtId="0" fontId="7" fillId="3" borderId="0" xfId="0" applyFont="1" applyFill="1" applyBorder="1" applyAlignment="1">
      <alignment horizontal="center"/>
    </xf>
    <xf numFmtId="0" fontId="25" fillId="3" borderId="0" xfId="0" applyFont="1" applyFill="1" applyBorder="1" applyAlignment="1">
      <alignment/>
    </xf>
    <xf numFmtId="0" fontId="17" fillId="3" borderId="0" xfId="0" applyFont="1" applyFill="1" applyBorder="1" applyAlignment="1">
      <alignment/>
    </xf>
    <xf numFmtId="0" fontId="19" fillId="3" borderId="0" xfId="0" applyFont="1" applyFill="1" applyBorder="1" applyAlignment="1">
      <alignment/>
    </xf>
    <xf numFmtId="0" fontId="7" fillId="3" borderId="0" xfId="0" applyFont="1" applyFill="1" applyBorder="1" applyAlignment="1">
      <alignment/>
    </xf>
    <xf numFmtId="0" fontId="17" fillId="3" borderId="2" xfId="0" applyFont="1" applyFill="1" applyBorder="1" applyAlignment="1">
      <alignment/>
    </xf>
    <xf numFmtId="0" fontId="19" fillId="3" borderId="0" xfId="0" applyFont="1" applyFill="1" applyBorder="1" applyAlignment="1">
      <alignment wrapText="1"/>
    </xf>
    <xf numFmtId="0" fontId="19" fillId="3" borderId="0" xfId="0" applyFont="1" applyFill="1" applyBorder="1" applyAlignment="1">
      <alignment horizontal="left" indent="1"/>
    </xf>
    <xf numFmtId="0" fontId="7" fillId="0" borderId="0" xfId="0" applyFont="1" applyFill="1" applyBorder="1" applyAlignment="1">
      <alignment horizontal="center"/>
    </xf>
    <xf numFmtId="0" fontId="17" fillId="0" borderId="0" xfId="0" applyFont="1" applyFill="1" applyBorder="1" applyAlignment="1">
      <alignment/>
    </xf>
    <xf numFmtId="0" fontId="0" fillId="0" borderId="0" xfId="0" applyFill="1" applyBorder="1" applyAlignment="1">
      <alignment/>
    </xf>
    <xf numFmtId="0" fontId="16" fillId="0" borderId="0" xfId="0" applyFont="1" applyFill="1" applyBorder="1" applyAlignment="1">
      <alignment/>
    </xf>
    <xf numFmtId="0" fontId="17" fillId="0" borderId="0" xfId="0" applyFont="1" applyFill="1" applyBorder="1" applyAlignment="1">
      <alignment/>
    </xf>
    <xf numFmtId="0" fontId="27" fillId="4" borderId="11" xfId="0" applyFont="1" applyFill="1" applyBorder="1" applyAlignment="1">
      <alignment horizontal="right"/>
    </xf>
    <xf numFmtId="0" fontId="17" fillId="7" borderId="3" xfId="0" applyFont="1" applyFill="1" applyBorder="1" applyAlignment="1">
      <alignment/>
    </xf>
    <xf numFmtId="0" fontId="17" fillId="7" borderId="5" xfId="0" applyFont="1" applyFill="1" applyBorder="1" applyAlignment="1">
      <alignment/>
    </xf>
    <xf numFmtId="0" fontId="7" fillId="7" borderId="6" xfId="0" applyFont="1" applyFill="1" applyBorder="1" applyAlignment="1">
      <alignment horizontal="center"/>
    </xf>
    <xf numFmtId="0" fontId="7" fillId="3" borderId="6" xfId="0" applyFont="1" applyFill="1" applyBorder="1" applyAlignment="1">
      <alignment horizontal="center"/>
    </xf>
    <xf numFmtId="0" fontId="17" fillId="3" borderId="6" xfId="0" applyFont="1" applyFill="1" applyBorder="1" applyAlignment="1">
      <alignment/>
    </xf>
    <xf numFmtId="0" fontId="17" fillId="3" borderId="11" xfId="0" applyFont="1" applyFill="1" applyBorder="1" applyAlignment="1">
      <alignment/>
    </xf>
    <xf numFmtId="0" fontId="17" fillId="7" borderId="7" xfId="0" applyFont="1" applyFill="1" applyBorder="1" applyAlignment="1">
      <alignment/>
    </xf>
    <xf numFmtId="0" fontId="17" fillId="3" borderId="7" xfId="0" applyFont="1" applyFill="1" applyBorder="1" applyAlignment="1">
      <alignment/>
    </xf>
    <xf numFmtId="0" fontId="17" fillId="3" borderId="18" xfId="0" applyFont="1" applyFill="1" applyBorder="1" applyAlignment="1">
      <alignment/>
    </xf>
    <xf numFmtId="0" fontId="17" fillId="3" borderId="0" xfId="0" applyFont="1" applyFill="1" applyBorder="1" applyAlignment="1">
      <alignment/>
    </xf>
    <xf numFmtId="0" fontId="17" fillId="3" borderId="19" xfId="0" applyFont="1" applyFill="1" applyBorder="1" applyAlignment="1">
      <alignment/>
    </xf>
    <xf numFmtId="0" fontId="17" fillId="3" borderId="1" xfId="0" applyFont="1" applyFill="1" applyBorder="1" applyAlignment="1">
      <alignment/>
    </xf>
    <xf numFmtId="0" fontId="17" fillId="7" borderId="1" xfId="0" applyFont="1" applyFill="1" applyBorder="1" applyAlignment="1">
      <alignment/>
    </xf>
    <xf numFmtId="0" fontId="7" fillId="7" borderId="2" xfId="0" applyFont="1" applyFill="1" applyBorder="1" applyAlignment="1">
      <alignment horizontal="center"/>
    </xf>
    <xf numFmtId="0" fontId="7" fillId="7" borderId="11" xfId="0" applyFont="1" applyFill="1" applyBorder="1" applyAlignment="1">
      <alignment horizontal="center"/>
    </xf>
    <xf numFmtId="0" fontId="0" fillId="4" borderId="0" xfId="0" applyFill="1" applyBorder="1" applyAlignment="1" applyProtection="1">
      <alignment vertical="center"/>
      <protection/>
    </xf>
    <xf numFmtId="0" fontId="0" fillId="4" borderId="6" xfId="0" applyFill="1" applyBorder="1" applyAlignment="1" applyProtection="1">
      <alignment vertical="center"/>
      <protection/>
    </xf>
    <xf numFmtId="0" fontId="0" fillId="3" borderId="0" xfId="0" applyFill="1" applyBorder="1" applyAlignment="1" applyProtection="1">
      <alignment/>
      <protection/>
    </xf>
    <xf numFmtId="0" fontId="0" fillId="0" borderId="0" xfId="0" applyBorder="1" applyAlignment="1" applyProtection="1">
      <alignment/>
      <protection/>
    </xf>
    <xf numFmtId="0" fontId="7" fillId="2" borderId="4" xfId="0" applyFont="1" applyFill="1" applyBorder="1" applyAlignment="1" applyProtection="1">
      <alignment horizontal="centerContinuous"/>
      <protection/>
    </xf>
    <xf numFmtId="0" fontId="0" fillId="2" borderId="4" xfId="0" applyFill="1" applyBorder="1" applyAlignment="1" applyProtection="1">
      <alignment/>
      <protection/>
    </xf>
    <xf numFmtId="0" fontId="0" fillId="2" borderId="5" xfId="0" applyFill="1" applyBorder="1" applyAlignment="1" applyProtection="1">
      <alignment/>
      <protection/>
    </xf>
    <xf numFmtId="0" fontId="0" fillId="2" borderId="7" xfId="0" applyFill="1" applyBorder="1" applyAlignment="1" applyProtection="1">
      <alignment/>
      <protection/>
    </xf>
    <xf numFmtId="0" fontId="0" fillId="2" borderId="0" xfId="0" applyFill="1" applyBorder="1" applyAlignment="1" applyProtection="1">
      <alignment/>
      <protection/>
    </xf>
    <xf numFmtId="0" fontId="0" fillId="2" borderId="6" xfId="0" applyFill="1" applyBorder="1" applyAlignment="1" applyProtection="1">
      <alignment/>
      <protection/>
    </xf>
    <xf numFmtId="0" fontId="1" fillId="2" borderId="0" xfId="0" applyFont="1" applyFill="1" applyBorder="1" applyAlignment="1" applyProtection="1">
      <alignment horizontal="right"/>
      <protection/>
    </xf>
    <xf numFmtId="0" fontId="0" fillId="2" borderId="1" xfId="0" applyFill="1" applyBorder="1" applyAlignment="1" applyProtection="1">
      <alignment/>
      <protection/>
    </xf>
    <xf numFmtId="0" fontId="0" fillId="2" borderId="2" xfId="0" applyFill="1" applyBorder="1" applyAlignment="1" applyProtection="1">
      <alignment/>
      <protection/>
    </xf>
    <xf numFmtId="0" fontId="0" fillId="2" borderId="11" xfId="0" applyFill="1" applyBorder="1" applyAlignment="1" applyProtection="1">
      <alignment/>
      <protection/>
    </xf>
    <xf numFmtId="0" fontId="17" fillId="2" borderId="0" xfId="0" applyFont="1" applyFill="1" applyBorder="1" applyAlignment="1">
      <alignment horizontal="left"/>
    </xf>
    <xf numFmtId="0" fontId="17" fillId="3" borderId="0" xfId="0" applyFont="1" applyFill="1" applyBorder="1" applyAlignment="1" applyProtection="1">
      <alignment/>
      <protection/>
    </xf>
    <xf numFmtId="0" fontId="17" fillId="0" borderId="0" xfId="0" applyFont="1" applyAlignment="1">
      <alignment/>
    </xf>
    <xf numFmtId="0" fontId="7" fillId="2" borderId="0" xfId="0" applyFont="1" applyFill="1" applyBorder="1" applyAlignment="1" applyProtection="1">
      <alignment/>
      <protection/>
    </xf>
    <xf numFmtId="0" fontId="17" fillId="2" borderId="0" xfId="0" applyFont="1" applyFill="1" applyBorder="1" applyAlignment="1" applyProtection="1">
      <alignment/>
      <protection/>
    </xf>
    <xf numFmtId="0" fontId="16" fillId="3" borderId="13" xfId="0" applyFont="1" applyFill="1" applyBorder="1" applyAlignment="1" applyProtection="1">
      <alignment wrapText="1"/>
      <protection locked="0"/>
    </xf>
    <xf numFmtId="0" fontId="17" fillId="2" borderId="2" xfId="0" applyFont="1" applyFill="1" applyBorder="1" applyAlignment="1" applyProtection="1">
      <alignment/>
      <protection/>
    </xf>
    <xf numFmtId="0" fontId="7" fillId="2" borderId="0" xfId="0" applyFont="1" applyFill="1" applyBorder="1" applyAlignment="1" applyProtection="1">
      <alignment horizontal="left"/>
      <protection/>
    </xf>
    <xf numFmtId="0" fontId="15" fillId="2" borderId="0" xfId="0" applyFont="1" applyFill="1" applyBorder="1" applyAlignment="1" applyProtection="1">
      <alignment/>
      <protection/>
    </xf>
    <xf numFmtId="0" fontId="1" fillId="2" borderId="0" xfId="0" applyFont="1" applyFill="1" applyBorder="1" applyAlignment="1" applyProtection="1">
      <alignment horizontal="center"/>
      <protection/>
    </xf>
    <xf numFmtId="0" fontId="17" fillId="2" borderId="14" xfId="0" applyFont="1" applyFill="1" applyBorder="1" applyAlignment="1" applyProtection="1">
      <alignment horizontal="right" vertical="center"/>
      <protection/>
    </xf>
    <xf numFmtId="0" fontId="0" fillId="2" borderId="20" xfId="0" applyFill="1" applyBorder="1" applyAlignment="1" applyProtection="1">
      <alignment/>
      <protection/>
    </xf>
    <xf numFmtId="0" fontId="17" fillId="2" borderId="0" xfId="0" applyFont="1" applyFill="1" applyBorder="1" applyAlignment="1" applyProtection="1">
      <alignment horizontal="right"/>
      <protection/>
    </xf>
    <xf numFmtId="0" fontId="15" fillId="2" borderId="0" xfId="0" applyFont="1" applyFill="1" applyBorder="1" applyAlignment="1">
      <alignment horizontal="left"/>
    </xf>
    <xf numFmtId="0" fontId="1" fillId="2" borderId="0" xfId="0" applyFont="1" applyFill="1" applyBorder="1" applyAlignment="1" applyProtection="1">
      <alignment/>
      <protection/>
    </xf>
    <xf numFmtId="0" fontId="1" fillId="2" borderId="0" xfId="0" applyFont="1" applyFill="1" applyBorder="1" applyAlignment="1" applyProtection="1">
      <alignment horizontal="left"/>
      <protection/>
    </xf>
    <xf numFmtId="0" fontId="17" fillId="2" borderId="4" xfId="0" applyFont="1" applyFill="1" applyBorder="1" applyAlignment="1" applyProtection="1">
      <alignment/>
      <protection/>
    </xf>
    <xf numFmtId="0" fontId="15" fillId="2" borderId="4" xfId="0" applyFont="1" applyFill="1" applyBorder="1" applyAlignment="1" applyProtection="1">
      <alignment/>
      <protection/>
    </xf>
    <xf numFmtId="0" fontId="0" fillId="8" borderId="0" xfId="0" applyFill="1" applyBorder="1" applyAlignment="1" applyProtection="1">
      <alignment/>
      <protection/>
    </xf>
    <xf numFmtId="0" fontId="15" fillId="2" borderId="0" xfId="0" applyFont="1" applyFill="1" applyBorder="1" applyAlignment="1" applyProtection="1">
      <alignment horizontal="right"/>
      <protection/>
    </xf>
    <xf numFmtId="0" fontId="1" fillId="8" borderId="0" xfId="0" applyFont="1" applyFill="1" applyBorder="1" applyAlignment="1" applyProtection="1">
      <alignment/>
      <protection/>
    </xf>
    <xf numFmtId="0" fontId="15" fillId="2" borderId="2" xfId="0" applyFont="1" applyFill="1" applyBorder="1" applyAlignment="1" applyProtection="1">
      <alignment/>
      <protection/>
    </xf>
    <xf numFmtId="0" fontId="0" fillId="2" borderId="11" xfId="0" applyFont="1" applyFill="1" applyBorder="1" applyAlignment="1" applyProtection="1">
      <alignment horizontal="right"/>
      <protection/>
    </xf>
    <xf numFmtId="0" fontId="30" fillId="0" borderId="0" xfId="0" applyFont="1" applyAlignment="1">
      <alignment/>
    </xf>
    <xf numFmtId="2" fontId="0" fillId="0" borderId="0" xfId="0" applyNumberFormat="1" applyBorder="1" applyAlignment="1" applyProtection="1">
      <alignment horizontal="right"/>
      <protection/>
    </xf>
    <xf numFmtId="0" fontId="0" fillId="4" borderId="0" xfId="0" applyFill="1" applyBorder="1" applyAlignment="1" applyProtection="1">
      <alignment/>
      <protection/>
    </xf>
    <xf numFmtId="0" fontId="0" fillId="4" borderId="0" xfId="0" applyFill="1" applyBorder="1" applyAlignment="1" applyProtection="1">
      <alignment horizontal="center"/>
      <protection/>
    </xf>
    <xf numFmtId="0" fontId="1" fillId="0" borderId="0" xfId="0" applyFont="1" applyAlignment="1">
      <alignment/>
    </xf>
    <xf numFmtId="0" fontId="1" fillId="0" borderId="21" xfId="0" applyFont="1" applyBorder="1" applyAlignment="1" applyProtection="1">
      <alignment horizontal="right" vertical="center" wrapText="1"/>
      <protection/>
    </xf>
    <xf numFmtId="0" fontId="7" fillId="0" borderId="0" xfId="0" applyFont="1" applyAlignment="1">
      <alignment/>
    </xf>
    <xf numFmtId="0" fontId="0" fillId="0" borderId="21" xfId="0" applyBorder="1" applyAlignment="1">
      <alignment vertical="center"/>
    </xf>
    <xf numFmtId="0" fontId="1" fillId="0" borderId="21" xfId="0" applyFont="1" applyBorder="1" applyAlignment="1">
      <alignment vertical="center" wrapText="1"/>
    </xf>
    <xf numFmtId="0" fontId="0" fillId="9" borderId="21" xfId="0" applyFill="1" applyBorder="1" applyAlignment="1">
      <alignment horizontal="center" vertical="center"/>
    </xf>
    <xf numFmtId="0" fontId="0" fillId="9" borderId="21" xfId="0" applyFill="1" applyBorder="1" applyAlignment="1">
      <alignment vertical="center"/>
    </xf>
    <xf numFmtId="0" fontId="20" fillId="0" borderId="0" xfId="0" applyFont="1" applyBorder="1" applyAlignment="1" applyProtection="1">
      <alignment horizontal="right" vertical="center"/>
      <protection/>
    </xf>
    <xf numFmtId="0" fontId="20" fillId="0" borderId="0" xfId="0" applyFont="1" applyBorder="1" applyAlignment="1" applyProtection="1">
      <alignment vertical="center"/>
      <protection/>
    </xf>
    <xf numFmtId="0" fontId="0" fillId="0" borderId="0" xfId="0" applyFill="1" applyBorder="1" applyAlignment="1" applyProtection="1">
      <alignment/>
      <protection/>
    </xf>
    <xf numFmtId="0" fontId="0" fillId="0" borderId="0" xfId="0" applyFill="1" applyAlignment="1">
      <alignment/>
    </xf>
    <xf numFmtId="0" fontId="0" fillId="0" borderId="0" xfId="0" applyFill="1" applyAlignment="1" applyProtection="1">
      <alignment/>
      <protection/>
    </xf>
    <xf numFmtId="2" fontId="0" fillId="0" borderId="0" xfId="0" applyNumberFormat="1" applyFill="1" applyBorder="1" applyAlignment="1" applyProtection="1">
      <alignment/>
      <protection/>
    </xf>
    <xf numFmtId="0" fontId="31" fillId="4" borderId="6" xfId="0" applyFont="1" applyFill="1" applyBorder="1" applyAlignment="1" applyProtection="1">
      <alignment/>
      <protection/>
    </xf>
    <xf numFmtId="0" fontId="7" fillId="4" borderId="2" xfId="0" applyFont="1" applyFill="1" applyBorder="1" applyAlignment="1" applyProtection="1">
      <alignment horizontal="center"/>
      <protection/>
    </xf>
    <xf numFmtId="0" fontId="7" fillId="2" borderId="0" xfId="0" applyFont="1" applyFill="1" applyBorder="1" applyAlignment="1" applyProtection="1">
      <alignment horizontal="center" wrapText="1"/>
      <protection/>
    </xf>
    <xf numFmtId="0" fontId="7" fillId="2" borderId="0" xfId="0" applyFont="1" applyFill="1" applyBorder="1" applyAlignment="1" applyProtection="1">
      <alignment wrapText="1"/>
      <protection/>
    </xf>
    <xf numFmtId="0" fontId="7" fillId="2" borderId="20" xfId="0" applyFont="1" applyFill="1" applyBorder="1" applyAlignment="1" applyProtection="1">
      <alignment wrapText="1"/>
      <protection/>
    </xf>
    <xf numFmtId="0" fontId="7" fillId="2" borderId="4" xfId="0" applyFont="1" applyFill="1" applyBorder="1" applyAlignment="1" applyProtection="1">
      <alignment wrapText="1"/>
      <protection/>
    </xf>
    <xf numFmtId="0" fontId="7" fillId="2" borderId="2" xfId="0" applyFont="1" applyFill="1" applyBorder="1" applyAlignment="1" applyProtection="1">
      <alignment wrapText="1"/>
      <protection/>
    </xf>
    <xf numFmtId="0" fontId="17" fillId="2" borderId="4" xfId="0" applyFont="1" applyFill="1" applyBorder="1" applyAlignment="1" applyProtection="1">
      <alignment/>
      <protection/>
    </xf>
    <xf numFmtId="0" fontId="0" fillId="2" borderId="2" xfId="0" applyFont="1" applyFill="1" applyBorder="1" applyAlignment="1" applyProtection="1">
      <alignment horizontal="right"/>
      <protection/>
    </xf>
    <xf numFmtId="0" fontId="31" fillId="4" borderId="7" xfId="0" applyFont="1" applyFill="1" applyBorder="1" applyAlignment="1" applyProtection="1">
      <alignment/>
      <protection/>
    </xf>
    <xf numFmtId="0" fontId="0" fillId="2" borderId="3" xfId="0" applyFill="1" applyBorder="1" applyAlignment="1" applyProtection="1">
      <alignment/>
      <protection/>
    </xf>
    <xf numFmtId="0" fontId="1" fillId="2" borderId="4" xfId="0" applyFont="1" applyFill="1" applyBorder="1" applyAlignment="1" applyProtection="1">
      <alignment horizontal="centerContinuous"/>
      <protection/>
    </xf>
    <xf numFmtId="0" fontId="5" fillId="2" borderId="0" xfId="0" applyFont="1" applyFill="1" applyBorder="1" applyAlignment="1" applyProtection="1">
      <alignment/>
      <protection/>
    </xf>
    <xf numFmtId="0" fontId="17" fillId="2" borderId="0" xfId="0" applyFont="1" applyFill="1" applyBorder="1" applyAlignment="1" applyProtection="1">
      <alignment horizontal="left"/>
      <protection/>
    </xf>
    <xf numFmtId="0" fontId="19" fillId="2" borderId="0" xfId="0" applyFont="1" applyFill="1" applyBorder="1" applyAlignment="1" applyProtection="1">
      <alignment horizontal="left"/>
      <protection/>
    </xf>
    <xf numFmtId="0" fontId="19" fillId="2" borderId="0" xfId="0" applyFont="1" applyFill="1" applyBorder="1" applyAlignment="1" applyProtection="1">
      <alignment/>
      <protection/>
    </xf>
    <xf numFmtId="0" fontId="7" fillId="2" borderId="2" xfId="0" applyFont="1" applyFill="1" applyBorder="1" applyAlignment="1" applyProtection="1">
      <alignment/>
      <protection/>
    </xf>
    <xf numFmtId="49" fontId="7" fillId="2" borderId="0" xfId="0" applyNumberFormat="1" applyFont="1" applyFill="1" applyBorder="1" applyAlignment="1" applyProtection="1">
      <alignment horizontal="right" vertical="center"/>
      <protection/>
    </xf>
    <xf numFmtId="0" fontId="0" fillId="2" borderId="0" xfId="0" applyFill="1" applyBorder="1" applyAlignment="1" applyProtection="1">
      <alignment horizontal="right"/>
      <protection/>
    </xf>
    <xf numFmtId="49" fontId="7" fillId="2" borderId="0" xfId="0" applyNumberFormat="1" applyFont="1" applyFill="1" applyBorder="1" applyAlignment="1" applyProtection="1">
      <alignment horizontal="right"/>
      <protection/>
    </xf>
    <xf numFmtId="0" fontId="0" fillId="2" borderId="22" xfId="0" applyFill="1" applyBorder="1" applyAlignment="1" applyProtection="1">
      <alignment/>
      <protection/>
    </xf>
    <xf numFmtId="0" fontId="0" fillId="2" borderId="10" xfId="0" applyFill="1" applyBorder="1" applyAlignment="1" applyProtection="1">
      <alignment/>
      <protection/>
    </xf>
    <xf numFmtId="0" fontId="12" fillId="2" borderId="4" xfId="0" applyFont="1" applyFill="1" applyBorder="1" applyAlignment="1" applyProtection="1">
      <alignment/>
      <protection/>
    </xf>
    <xf numFmtId="0" fontId="17" fillId="2" borderId="0" xfId="0" applyFont="1" applyFill="1" applyBorder="1" applyAlignment="1" applyProtection="1" quotePrefix="1">
      <alignment/>
      <protection/>
    </xf>
    <xf numFmtId="0" fontId="0" fillId="2" borderId="1" xfId="0" applyFont="1" applyFill="1" applyBorder="1" applyAlignment="1" applyProtection="1">
      <alignment horizontal="right"/>
      <protection/>
    </xf>
    <xf numFmtId="0" fontId="31" fillId="4" borderId="3" xfId="0" applyFont="1" applyFill="1" applyBorder="1" applyAlignment="1" applyProtection="1">
      <alignment/>
      <protection/>
    </xf>
    <xf numFmtId="0" fontId="0" fillId="2" borderId="10" xfId="0" applyFill="1" applyBorder="1" applyAlignment="1" applyProtection="1">
      <alignment/>
      <protection locked="0"/>
    </xf>
    <xf numFmtId="0" fontId="17" fillId="6" borderId="3" xfId="0" applyFont="1" applyFill="1" applyBorder="1" applyAlignment="1" applyProtection="1">
      <alignment/>
      <protection/>
    </xf>
    <xf numFmtId="0" fontId="17" fillId="6" borderId="4" xfId="0" applyFont="1" applyFill="1" applyBorder="1" applyAlignment="1" applyProtection="1">
      <alignment/>
      <protection/>
    </xf>
    <xf numFmtId="0" fontId="17" fillId="6" borderId="5" xfId="0" applyFont="1" applyFill="1" applyBorder="1" applyAlignment="1" applyProtection="1">
      <alignment/>
      <protection/>
    </xf>
    <xf numFmtId="0" fontId="17" fillId="6" borderId="7" xfId="0" applyFont="1" applyFill="1" applyBorder="1" applyAlignment="1" applyProtection="1">
      <alignment/>
      <protection/>
    </xf>
    <xf numFmtId="0" fontId="17" fillId="6" borderId="6" xfId="0" applyFont="1" applyFill="1" applyBorder="1" applyAlignment="1" applyProtection="1">
      <alignment/>
      <protection/>
    </xf>
    <xf numFmtId="0" fontId="17" fillId="6" borderId="1" xfId="0" applyFont="1" applyFill="1" applyBorder="1" applyAlignment="1" applyProtection="1">
      <alignment/>
      <protection/>
    </xf>
    <xf numFmtId="0" fontId="7" fillId="6" borderId="2" xfId="0" applyFont="1" applyFill="1" applyBorder="1" applyAlignment="1" applyProtection="1">
      <alignment/>
      <protection/>
    </xf>
    <xf numFmtId="0" fontId="17" fillId="6" borderId="2" xfId="0" applyFont="1" applyFill="1" applyBorder="1" applyAlignment="1" applyProtection="1">
      <alignment/>
      <protection/>
    </xf>
    <xf numFmtId="0" fontId="17" fillId="6" borderId="11" xfId="0" applyFont="1" applyFill="1" applyBorder="1" applyAlignment="1" applyProtection="1">
      <alignment/>
      <protection/>
    </xf>
    <xf numFmtId="0" fontId="17" fillId="2" borderId="2" xfId="0" applyFont="1" applyFill="1" applyBorder="1" applyAlignment="1" applyProtection="1">
      <alignment horizontal="right"/>
      <protection/>
    </xf>
    <xf numFmtId="0" fontId="1" fillId="0" borderId="0" xfId="0" applyFont="1" applyBorder="1" applyAlignment="1" applyProtection="1">
      <alignment horizontal="right" wrapText="1"/>
      <protection/>
    </xf>
    <xf numFmtId="0" fontId="17" fillId="0" borderId="0" xfId="0" applyFont="1" applyBorder="1" applyAlignment="1">
      <alignment horizontal="center"/>
    </xf>
    <xf numFmtId="0" fontId="33" fillId="2" borderId="4" xfId="0" applyFont="1" applyFill="1" applyBorder="1" applyAlignment="1" applyProtection="1">
      <alignment/>
      <protection/>
    </xf>
    <xf numFmtId="0" fontId="7" fillId="2" borderId="4" xfId="0" applyFont="1" applyFill="1" applyBorder="1" applyAlignment="1" applyProtection="1">
      <alignment/>
      <protection/>
    </xf>
    <xf numFmtId="0" fontId="7" fillId="2" borderId="0" xfId="0" applyFont="1" applyFill="1" applyBorder="1" applyAlignment="1" applyProtection="1">
      <alignment horizontal="center"/>
      <protection/>
    </xf>
    <xf numFmtId="0" fontId="25" fillId="2" borderId="0" xfId="0" applyFont="1" applyFill="1" applyBorder="1" applyAlignment="1" applyProtection="1">
      <alignment/>
      <protection/>
    </xf>
    <xf numFmtId="0" fontId="17" fillId="2" borderId="10" xfId="0" applyFont="1" applyFill="1" applyBorder="1" applyAlignment="1" applyProtection="1">
      <alignment horizontal="right" indent="1"/>
      <protection/>
    </xf>
    <xf numFmtId="0" fontId="17" fillId="2" borderId="12" xfId="0" applyFont="1" applyFill="1" applyBorder="1" applyAlignment="1" applyProtection="1">
      <alignment horizontal="right" indent="1"/>
      <protection/>
    </xf>
    <xf numFmtId="0" fontId="17" fillId="2" borderId="0" xfId="0" applyFont="1" applyFill="1" applyBorder="1" applyAlignment="1" applyProtection="1">
      <alignment vertical="top"/>
      <protection/>
    </xf>
    <xf numFmtId="0" fontId="17" fillId="2" borderId="7" xfId="0" applyFont="1" applyFill="1" applyBorder="1" applyAlignment="1" applyProtection="1">
      <alignment/>
      <protection/>
    </xf>
    <xf numFmtId="0" fontId="0" fillId="0" borderId="4" xfId="0" applyBorder="1" applyAlignment="1">
      <alignment vertical="top"/>
    </xf>
    <xf numFmtId="0" fontId="0" fillId="0" borderId="5" xfId="0" applyBorder="1" applyAlignment="1">
      <alignment vertical="top"/>
    </xf>
    <xf numFmtId="0" fontId="29" fillId="3" borderId="3" xfId="0" applyFont="1" applyFill="1" applyBorder="1" applyAlignment="1" applyProtection="1">
      <alignment vertical="top"/>
      <protection/>
    </xf>
    <xf numFmtId="0" fontId="17" fillId="0" borderId="0" xfId="0" applyFont="1" applyBorder="1" applyAlignment="1">
      <alignment/>
    </xf>
    <xf numFmtId="0" fontId="0" fillId="10" borderId="23" xfId="0" applyFill="1" applyBorder="1" applyAlignment="1">
      <alignment/>
    </xf>
    <xf numFmtId="0" fontId="0" fillId="10" borderId="24" xfId="0" applyFill="1" applyBorder="1" applyAlignment="1">
      <alignment/>
    </xf>
    <xf numFmtId="0" fontId="0" fillId="10" borderId="25" xfId="0" applyFill="1" applyBorder="1" applyAlignment="1">
      <alignment/>
    </xf>
    <xf numFmtId="0" fontId="0" fillId="10" borderId="26" xfId="0" applyFill="1" applyBorder="1" applyAlignment="1">
      <alignment/>
    </xf>
    <xf numFmtId="0" fontId="7" fillId="10" borderId="0" xfId="0" applyFont="1" applyFill="1" applyBorder="1" applyAlignment="1">
      <alignment/>
    </xf>
    <xf numFmtId="0" fontId="17" fillId="10" borderId="0" xfId="0" applyFont="1" applyFill="1" applyBorder="1" applyAlignment="1">
      <alignment/>
    </xf>
    <xf numFmtId="3" fontId="5" fillId="10" borderId="8" xfId="0" applyNumberFormat="1" applyFont="1" applyFill="1" applyBorder="1" applyAlignment="1">
      <alignment horizontal="right"/>
    </xf>
    <xf numFmtId="0" fontId="17" fillId="10" borderId="0" xfId="0" applyFont="1" applyFill="1" applyBorder="1" applyAlignment="1" applyProtection="1">
      <alignment/>
      <protection locked="0"/>
    </xf>
    <xf numFmtId="3" fontId="0" fillId="10" borderId="8" xfId="0" applyNumberFormat="1" applyFont="1" applyFill="1" applyBorder="1" applyAlignment="1">
      <alignment horizontal="right"/>
    </xf>
    <xf numFmtId="0" fontId="0" fillId="10" borderId="0" xfId="0" applyFill="1" applyBorder="1" applyAlignment="1">
      <alignment/>
    </xf>
    <xf numFmtId="3" fontId="5" fillId="10" borderId="8" xfId="0" applyNumberFormat="1" applyFont="1" applyFill="1" applyBorder="1" applyAlignment="1" applyProtection="1">
      <alignment horizontal="right"/>
      <protection locked="0"/>
    </xf>
    <xf numFmtId="0" fontId="0" fillId="10" borderId="27" xfId="0" applyFill="1" applyBorder="1" applyAlignment="1">
      <alignment/>
    </xf>
    <xf numFmtId="0" fontId="17" fillId="10" borderId="16" xfId="0" applyFont="1" applyFill="1" applyBorder="1" applyAlignment="1">
      <alignment/>
    </xf>
    <xf numFmtId="3" fontId="0" fillId="10" borderId="28" xfId="0" applyNumberFormat="1" applyFont="1" applyFill="1" applyBorder="1" applyAlignment="1">
      <alignment horizontal="right"/>
    </xf>
    <xf numFmtId="0" fontId="17" fillId="10" borderId="24" xfId="0" applyFont="1" applyFill="1" applyBorder="1" applyAlignment="1">
      <alignment/>
    </xf>
    <xf numFmtId="3" fontId="35" fillId="10" borderId="0" xfId="0" applyNumberFormat="1" applyFont="1" applyFill="1" applyBorder="1" applyAlignment="1">
      <alignment horizontal="right"/>
    </xf>
    <xf numFmtId="3" fontId="35" fillId="10" borderId="21" xfId="0" applyNumberFormat="1" applyFont="1" applyFill="1" applyBorder="1" applyAlignment="1">
      <alignment horizontal="right"/>
    </xf>
    <xf numFmtId="3" fontId="17" fillId="10" borderId="0" xfId="0" applyNumberFormat="1" applyFont="1" applyFill="1" applyBorder="1" applyAlignment="1">
      <alignment horizontal="right"/>
    </xf>
    <xf numFmtId="3" fontId="35" fillId="10" borderId="0" xfId="0" applyNumberFormat="1" applyFont="1" applyFill="1" applyBorder="1" applyAlignment="1" applyProtection="1">
      <alignment horizontal="right"/>
      <protection locked="0"/>
    </xf>
    <xf numFmtId="3" fontId="35" fillId="10" borderId="21" xfId="0" applyNumberFormat="1" applyFont="1" applyFill="1" applyBorder="1" applyAlignment="1" applyProtection="1">
      <alignment horizontal="right"/>
      <protection locked="0"/>
    </xf>
    <xf numFmtId="3" fontId="17" fillId="10" borderId="16" xfId="0" applyNumberFormat="1" applyFont="1" applyFill="1" applyBorder="1" applyAlignment="1">
      <alignment horizontal="right"/>
    </xf>
    <xf numFmtId="3" fontId="17" fillId="0" borderId="0" xfId="0" applyNumberFormat="1" applyFont="1" applyBorder="1" applyAlignment="1">
      <alignment horizontal="right"/>
    </xf>
    <xf numFmtId="0" fontId="0" fillId="10" borderId="24" xfId="0" applyFill="1" applyBorder="1" applyAlignment="1" applyProtection="1">
      <alignment/>
      <protection/>
    </xf>
    <xf numFmtId="0" fontId="5" fillId="10" borderId="0" xfId="0" applyFont="1" applyFill="1" applyBorder="1" applyAlignment="1" applyProtection="1">
      <alignment/>
      <protection/>
    </xf>
    <xf numFmtId="0" fontId="30" fillId="10" borderId="0" xfId="0" applyFont="1" applyFill="1" applyBorder="1" applyAlignment="1" applyProtection="1">
      <alignment/>
      <protection/>
    </xf>
    <xf numFmtId="0" fontId="0" fillId="10" borderId="0" xfId="0" applyFill="1" applyBorder="1" applyAlignment="1" applyProtection="1">
      <alignment/>
      <protection/>
    </xf>
    <xf numFmtId="0" fontId="0" fillId="10" borderId="29" xfId="0" applyFill="1" applyBorder="1" applyAlignment="1" applyProtection="1">
      <alignment horizontal="right"/>
      <protection/>
    </xf>
    <xf numFmtId="0" fontId="0" fillId="10" borderId="30" xfId="0" applyFill="1" applyBorder="1" applyAlignment="1" applyProtection="1">
      <alignment horizontal="right"/>
      <protection/>
    </xf>
    <xf numFmtId="0" fontId="0" fillId="10" borderId="16" xfId="0" applyFill="1" applyBorder="1" applyAlignment="1" applyProtection="1">
      <alignment/>
      <protection/>
    </xf>
    <xf numFmtId="0" fontId="15" fillId="2" borderId="3" xfId="0" applyFont="1" applyFill="1" applyBorder="1" applyAlignment="1" applyProtection="1">
      <alignment/>
      <protection/>
    </xf>
    <xf numFmtId="0" fontId="15" fillId="2" borderId="7" xfId="0" applyFont="1" applyFill="1" applyBorder="1" applyAlignment="1" applyProtection="1">
      <alignment/>
      <protection/>
    </xf>
    <xf numFmtId="0" fontId="12" fillId="2" borderId="0" xfId="0" applyFont="1" applyFill="1" applyBorder="1" applyAlignment="1" applyProtection="1">
      <alignment/>
      <protection/>
    </xf>
    <xf numFmtId="0" fontId="15" fillId="2" borderId="1" xfId="0" applyFont="1" applyFill="1" applyBorder="1" applyAlignment="1" applyProtection="1">
      <alignment/>
      <protection/>
    </xf>
    <xf numFmtId="0" fontId="12" fillId="2" borderId="20" xfId="0" applyFont="1" applyFill="1" applyBorder="1" applyAlignment="1" applyProtection="1">
      <alignment/>
      <protection/>
    </xf>
    <xf numFmtId="0" fontId="17" fillId="2" borderId="20" xfId="0" applyFont="1" applyFill="1" applyBorder="1" applyAlignment="1" applyProtection="1">
      <alignment/>
      <protection/>
    </xf>
    <xf numFmtId="0" fontId="15" fillId="2" borderId="20" xfId="0" applyFont="1" applyFill="1" applyBorder="1" applyAlignment="1" applyProtection="1">
      <alignment/>
      <protection/>
    </xf>
    <xf numFmtId="3" fontId="0" fillId="0" borderId="0" xfId="0" applyNumberFormat="1" applyAlignment="1" applyProtection="1">
      <alignment horizontal="left"/>
      <protection/>
    </xf>
    <xf numFmtId="3" fontId="0" fillId="0" borderId="0" xfId="0" applyNumberFormat="1" applyAlignment="1" applyProtection="1">
      <alignment/>
      <protection/>
    </xf>
    <xf numFmtId="3" fontId="0" fillId="0" borderId="5" xfId="0" applyNumberFormat="1" applyBorder="1" applyAlignment="1" applyProtection="1">
      <alignment/>
      <protection/>
    </xf>
    <xf numFmtId="3" fontId="0" fillId="0" borderId="3" xfId="0" applyNumberFormat="1" applyBorder="1" applyAlignment="1" applyProtection="1">
      <alignment horizontal="left"/>
      <protection/>
    </xf>
    <xf numFmtId="3" fontId="0" fillId="0" borderId="4" xfId="0" applyNumberFormat="1" applyBorder="1" applyAlignment="1" applyProtection="1">
      <alignment/>
      <protection/>
    </xf>
    <xf numFmtId="3" fontId="0" fillId="0" borderId="3" xfId="0" applyNumberFormat="1" applyBorder="1" applyAlignment="1" applyProtection="1">
      <alignment/>
      <protection/>
    </xf>
    <xf numFmtId="3" fontId="0" fillId="0" borderId="6" xfId="0" applyNumberFormat="1" applyBorder="1" applyAlignment="1" applyProtection="1">
      <alignment/>
      <protection/>
    </xf>
    <xf numFmtId="3" fontId="0" fillId="0" borderId="7" xfId="0" applyNumberFormat="1" applyBorder="1" applyAlignment="1" applyProtection="1">
      <alignment horizontal="left"/>
      <protection/>
    </xf>
    <xf numFmtId="3" fontId="0" fillId="0" borderId="0" xfId="0" applyNumberFormat="1" applyBorder="1" applyAlignment="1" applyProtection="1">
      <alignment/>
      <protection/>
    </xf>
    <xf numFmtId="3" fontId="0" fillId="0" borderId="7" xfId="0" applyNumberFormat="1" applyBorder="1" applyAlignment="1" applyProtection="1">
      <alignment/>
      <protection/>
    </xf>
    <xf numFmtId="0" fontId="15" fillId="2" borderId="0" xfId="0" applyFont="1" applyFill="1" applyBorder="1" applyAlignment="1" applyProtection="1">
      <alignment horizontal="left"/>
      <protection/>
    </xf>
    <xf numFmtId="0" fontId="0" fillId="2" borderId="0" xfId="0" applyFill="1" applyBorder="1" applyAlignment="1" applyProtection="1">
      <alignment horizontal="left"/>
      <protection/>
    </xf>
    <xf numFmtId="0" fontId="7" fillId="4" borderId="0" xfId="0" applyFont="1" applyFill="1" applyBorder="1" applyAlignment="1" applyProtection="1">
      <alignment horizontal="center"/>
      <protection/>
    </xf>
    <xf numFmtId="0" fontId="0" fillId="0" borderId="22" xfId="0" applyBorder="1" applyAlignment="1" applyProtection="1">
      <alignment/>
      <protection/>
    </xf>
    <xf numFmtId="0" fontId="0" fillId="0" borderId="6" xfId="0" applyBorder="1" applyAlignment="1" applyProtection="1">
      <alignment/>
      <protection/>
    </xf>
    <xf numFmtId="0" fontId="0" fillId="0" borderId="10" xfId="0" applyBorder="1" applyAlignment="1" applyProtection="1">
      <alignment/>
      <protection/>
    </xf>
    <xf numFmtId="206" fontId="0" fillId="2" borderId="12" xfId="15" applyNumberFormat="1" applyFill="1" applyBorder="1" applyAlignment="1">
      <alignment/>
    </xf>
    <xf numFmtId="206" fontId="0" fillId="0" borderId="0" xfId="15" applyNumberFormat="1" applyAlignment="1">
      <alignment/>
    </xf>
    <xf numFmtId="0" fontId="0" fillId="4" borderId="22" xfId="0" applyFill="1" applyBorder="1" applyAlignment="1">
      <alignment/>
    </xf>
    <xf numFmtId="0" fontId="1" fillId="4" borderId="10" xfId="0" applyFont="1" applyFill="1" applyBorder="1" applyAlignment="1">
      <alignment horizontal="center"/>
    </xf>
    <xf numFmtId="209" fontId="0" fillId="0" borderId="0" xfId="21" applyNumberFormat="1" applyFont="1" applyFill="1" applyAlignment="1" applyProtection="1">
      <alignment vertical="center"/>
      <protection/>
    </xf>
    <xf numFmtId="0" fontId="41" fillId="3" borderId="0" xfId="0" applyFont="1" applyFill="1" applyAlignment="1" applyProtection="1">
      <alignment/>
      <protection/>
    </xf>
    <xf numFmtId="0" fontId="41" fillId="3" borderId="0" xfId="0" applyFont="1" applyFill="1" applyBorder="1" applyAlignment="1" applyProtection="1">
      <alignment/>
      <protection/>
    </xf>
    <xf numFmtId="0" fontId="41" fillId="3" borderId="0" xfId="0" applyFont="1" applyFill="1" applyBorder="1" applyAlignment="1" applyProtection="1">
      <alignment wrapText="1"/>
      <protection/>
    </xf>
    <xf numFmtId="0" fontId="0" fillId="0" borderId="0" xfId="0" applyBorder="1" applyAlignment="1" applyProtection="1">
      <alignment wrapText="1"/>
      <protection/>
    </xf>
    <xf numFmtId="3" fontId="41" fillId="3" borderId="0" xfId="0" applyNumberFormat="1" applyFont="1" applyFill="1" applyBorder="1" applyAlignment="1" applyProtection="1">
      <alignment horizontal="center" vertical="center"/>
      <protection/>
    </xf>
    <xf numFmtId="3" fontId="0" fillId="0" borderId="0" xfId="0" applyNumberFormat="1" applyBorder="1" applyAlignment="1" applyProtection="1">
      <alignment horizontal="center" vertical="center"/>
      <protection/>
    </xf>
    <xf numFmtId="0" fontId="41" fillId="3" borderId="0" xfId="0" applyFont="1" applyFill="1" applyBorder="1" applyAlignment="1" applyProtection="1">
      <alignment/>
      <protection/>
    </xf>
    <xf numFmtId="3" fontId="41" fillId="3" borderId="0" xfId="0" applyNumberFormat="1" applyFont="1" applyFill="1" applyBorder="1" applyAlignment="1" applyProtection="1">
      <alignment vertical="center"/>
      <protection/>
    </xf>
    <xf numFmtId="3" fontId="0" fillId="0" borderId="0" xfId="0" applyNumberFormat="1" applyBorder="1" applyAlignment="1" applyProtection="1">
      <alignment vertical="center"/>
      <protection/>
    </xf>
    <xf numFmtId="0" fontId="42" fillId="3" borderId="7" xfId="20" applyNumberFormat="1" applyFont="1" applyFill="1" applyBorder="1" applyAlignment="1" applyProtection="1" quotePrefix="1">
      <alignment horizontal="left"/>
      <protection/>
    </xf>
    <xf numFmtId="3" fontId="41" fillId="3" borderId="0" xfId="0" applyNumberFormat="1" applyFont="1" applyFill="1" applyBorder="1" applyAlignment="1" applyProtection="1">
      <alignment horizontal="center"/>
      <protection/>
    </xf>
    <xf numFmtId="3" fontId="0" fillId="0" borderId="0" xfId="0" applyNumberFormat="1" applyBorder="1" applyAlignment="1" applyProtection="1">
      <alignment horizontal="center"/>
      <protection/>
    </xf>
    <xf numFmtId="0" fontId="43" fillId="3" borderId="7" xfId="20" applyNumberFormat="1" applyFont="1" applyFill="1" applyBorder="1" applyAlignment="1" applyProtection="1" quotePrefix="1">
      <alignment horizontal="left"/>
      <protection/>
    </xf>
    <xf numFmtId="4" fontId="41" fillId="3" borderId="0" xfId="0" applyNumberFormat="1" applyFont="1" applyFill="1" applyBorder="1" applyAlignment="1" applyProtection="1">
      <alignment horizontal="center"/>
      <protection/>
    </xf>
    <xf numFmtId="4" fontId="0" fillId="0" borderId="0" xfId="0" applyNumberFormat="1" applyBorder="1" applyAlignment="1" applyProtection="1">
      <alignment horizontal="center"/>
      <protection/>
    </xf>
    <xf numFmtId="198" fontId="41" fillId="3" borderId="0" xfId="0" applyNumberFormat="1" applyFont="1" applyFill="1" applyBorder="1" applyAlignment="1" applyProtection="1">
      <alignment horizontal="center"/>
      <protection/>
    </xf>
    <xf numFmtId="198" fontId="0" fillId="0" borderId="0" xfId="0" applyNumberFormat="1" applyBorder="1" applyAlignment="1" applyProtection="1">
      <alignment horizontal="center"/>
      <protection/>
    </xf>
    <xf numFmtId="198" fontId="41" fillId="3" borderId="0" xfId="0" applyNumberFormat="1" applyFont="1" applyFill="1" applyBorder="1" applyAlignment="1" applyProtection="1">
      <alignment vertical="center"/>
      <protection/>
    </xf>
    <xf numFmtId="198" fontId="0" fillId="0" borderId="0" xfId="0" applyNumberFormat="1" applyBorder="1" applyAlignment="1" applyProtection="1">
      <alignment vertical="center"/>
      <protection/>
    </xf>
    <xf numFmtId="0" fontId="41" fillId="3" borderId="4" xfId="0" applyFont="1" applyFill="1" applyBorder="1" applyAlignment="1" applyProtection="1">
      <alignment/>
      <protection/>
    </xf>
    <xf numFmtId="0" fontId="0" fillId="10" borderId="4" xfId="0" applyFill="1" applyBorder="1" applyAlignment="1" applyProtection="1">
      <alignment/>
      <protection/>
    </xf>
    <xf numFmtId="1" fontId="41" fillId="3" borderId="0" xfId="0" applyNumberFormat="1" applyFont="1" applyFill="1" applyBorder="1" applyAlignment="1" applyProtection="1">
      <alignment/>
      <protection/>
    </xf>
    <xf numFmtId="1" fontId="0" fillId="10" borderId="0" xfId="0" applyNumberFormat="1" applyFill="1" applyBorder="1" applyAlignment="1" applyProtection="1">
      <alignment/>
      <protection/>
    </xf>
    <xf numFmtId="0" fontId="41" fillId="3" borderId="2" xfId="0" applyFont="1" applyFill="1" applyBorder="1" applyAlignment="1" applyProtection="1">
      <alignment/>
      <protection/>
    </xf>
    <xf numFmtId="0" fontId="0" fillId="10" borderId="2" xfId="0" applyFill="1" applyBorder="1" applyAlignment="1" applyProtection="1">
      <alignment/>
      <protection/>
    </xf>
    <xf numFmtId="1" fontId="0" fillId="0" borderId="0" xfId="0" applyNumberFormat="1" applyFill="1" applyBorder="1" applyAlignment="1" applyProtection="1" quotePrefix="1">
      <alignment horizontal="left" vertical="center"/>
      <protection/>
    </xf>
    <xf numFmtId="0" fontId="44"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45" fillId="0" borderId="0" xfId="0" applyFont="1" applyFill="1" applyAlignment="1" applyProtection="1">
      <alignment vertical="center"/>
      <protection/>
    </xf>
    <xf numFmtId="0" fontId="46" fillId="0" borderId="0" xfId="0" applyFont="1" applyFill="1" applyAlignment="1" applyProtection="1">
      <alignment vertical="center"/>
      <protection/>
    </xf>
    <xf numFmtId="0" fontId="47" fillId="0" borderId="0" xfId="0" applyFont="1" applyFill="1" applyAlignment="1" applyProtection="1">
      <alignment vertical="center"/>
      <protection/>
    </xf>
    <xf numFmtId="0" fontId="0" fillId="3" borderId="31" xfId="0" applyFill="1" applyBorder="1" applyAlignment="1" applyProtection="1">
      <alignment vertical="center"/>
      <protection/>
    </xf>
    <xf numFmtId="0" fontId="30" fillId="0" borderId="31" xfId="0" applyFont="1" applyFill="1" applyBorder="1" applyAlignment="1" applyProtection="1">
      <alignment horizontal="center" vertical="center"/>
      <protection/>
    </xf>
    <xf numFmtId="0" fontId="44" fillId="0" borderId="0" xfId="0" applyFont="1" applyFill="1" applyBorder="1" applyAlignment="1" applyProtection="1">
      <alignment vertical="center"/>
      <protection/>
    </xf>
    <xf numFmtId="0" fontId="0" fillId="0" borderId="31" xfId="0" applyBorder="1" applyAlignment="1" applyProtection="1">
      <alignment vertical="center"/>
      <protection/>
    </xf>
    <xf numFmtId="0" fontId="50" fillId="0" borderId="0" xfId="0" applyFont="1" applyFill="1" applyAlignment="1" applyProtection="1">
      <alignment vertical="center"/>
      <protection/>
    </xf>
    <xf numFmtId="0" fontId="30" fillId="0" borderId="0" xfId="0" applyFont="1" applyFill="1" applyBorder="1" applyAlignment="1" applyProtection="1">
      <alignment horizontal="center" vertical="center"/>
      <protection/>
    </xf>
    <xf numFmtId="0" fontId="17" fillId="0" borderId="31" xfId="0" applyFont="1" applyBorder="1" applyAlignment="1" applyProtection="1">
      <alignment horizontal="right" vertical="center"/>
      <protection/>
    </xf>
    <xf numFmtId="0" fontId="0" fillId="0" borderId="31" xfId="0" applyBorder="1" applyAlignment="1" applyProtection="1">
      <alignment horizontal="right" vertical="center"/>
      <protection/>
    </xf>
    <xf numFmtId="0" fontId="17" fillId="0" borderId="32" xfId="0" applyFont="1" applyBorder="1" applyAlignment="1" applyProtection="1">
      <alignment vertical="center"/>
      <protection/>
    </xf>
    <xf numFmtId="0" fontId="17" fillId="0" borderId="32" xfId="0" applyFont="1" applyBorder="1" applyAlignment="1" applyProtection="1">
      <alignment horizontal="right" vertical="center"/>
      <protection/>
    </xf>
    <xf numFmtId="0" fontId="0" fillId="0" borderId="32" xfId="0" applyBorder="1" applyAlignment="1" applyProtection="1">
      <alignment horizontal="right" vertical="center"/>
      <protection/>
    </xf>
    <xf numFmtId="0" fontId="7" fillId="0" borderId="31" xfId="0" applyFont="1" applyBorder="1" applyAlignment="1" applyProtection="1">
      <alignment vertical="center"/>
      <protection/>
    </xf>
    <xf numFmtId="0" fontId="17" fillId="0" borderId="31" xfId="0" applyFont="1" applyFill="1" applyBorder="1" applyAlignment="1" applyProtection="1">
      <alignment vertical="center"/>
      <protection/>
    </xf>
    <xf numFmtId="0" fontId="17" fillId="0" borderId="31" xfId="0" applyFont="1" applyFill="1" applyBorder="1" applyAlignment="1" applyProtection="1">
      <alignment horizontal="right" vertical="center"/>
      <protection/>
    </xf>
    <xf numFmtId="0" fontId="0" fillId="0" borderId="31" xfId="0" applyFill="1" applyBorder="1" applyAlignment="1" applyProtection="1">
      <alignment horizontal="right" vertical="center"/>
      <protection/>
    </xf>
    <xf numFmtId="0" fontId="0" fillId="0" borderId="31" xfId="0" applyFill="1" applyBorder="1" applyAlignment="1" applyProtection="1">
      <alignment vertical="center"/>
      <protection/>
    </xf>
    <xf numFmtId="0" fontId="15" fillId="0" borderId="31" xfId="0" applyFont="1" applyFill="1" applyBorder="1" applyAlignment="1" applyProtection="1">
      <alignment vertical="center"/>
      <protection/>
    </xf>
    <xf numFmtId="0" fontId="15" fillId="0" borderId="31" xfId="0" applyFont="1" applyFill="1" applyBorder="1" applyAlignment="1" applyProtection="1">
      <alignment horizontal="right" vertical="center"/>
      <protection/>
    </xf>
    <xf numFmtId="1" fontId="18" fillId="0" borderId="31" xfId="0" applyNumberFormat="1" applyFont="1" applyFill="1" applyBorder="1" applyAlignment="1" applyProtection="1">
      <alignment horizontal="right" vertical="center"/>
      <protection/>
    </xf>
    <xf numFmtId="0" fontId="7" fillId="0" borderId="32" xfId="0" applyFont="1" applyFill="1" applyBorder="1" applyAlignment="1" applyProtection="1">
      <alignment vertical="center"/>
      <protection/>
    </xf>
    <xf numFmtId="0" fontId="17" fillId="0" borderId="32" xfId="0" applyFont="1" applyFill="1" applyBorder="1" applyAlignment="1" applyProtection="1">
      <alignment horizontal="right" vertical="center"/>
      <protection/>
    </xf>
    <xf numFmtId="0" fontId="0" fillId="0" borderId="32" xfId="0" applyFill="1" applyBorder="1" applyAlignment="1" applyProtection="1">
      <alignment horizontal="right" vertical="center"/>
      <protection/>
    </xf>
    <xf numFmtId="0" fontId="17" fillId="0" borderId="32" xfId="0" applyFont="1" applyFill="1" applyBorder="1" applyAlignment="1" applyProtection="1">
      <alignment vertical="center"/>
      <protection/>
    </xf>
    <xf numFmtId="0" fontId="12" fillId="0" borderId="32" xfId="0" applyFont="1" applyBorder="1" applyAlignment="1" applyProtection="1">
      <alignment vertical="center"/>
      <protection/>
    </xf>
    <xf numFmtId="0" fontId="17" fillId="0" borderId="31" xfId="0" applyFont="1" applyBorder="1" applyAlignment="1" applyProtection="1">
      <alignment vertical="center"/>
      <protection/>
    </xf>
    <xf numFmtId="3" fontId="52" fillId="3" borderId="0" xfId="0" applyNumberFormat="1" applyFont="1" applyFill="1" applyBorder="1" applyAlignment="1" applyProtection="1">
      <alignment horizontal="center" vertical="center"/>
      <protection/>
    </xf>
    <xf numFmtId="0" fontId="52" fillId="3" borderId="0" xfId="0" applyFont="1" applyFill="1" applyBorder="1" applyAlignment="1" applyProtection="1">
      <alignment horizontal="center" vertical="center"/>
      <protection/>
    </xf>
    <xf numFmtId="0" fontId="0" fillId="4" borderId="3" xfId="0" applyFill="1" applyBorder="1" applyAlignment="1" applyProtection="1" quotePrefix="1">
      <alignment horizontal="left"/>
      <protection/>
    </xf>
    <xf numFmtId="0" fontId="0" fillId="4" borderId="4" xfId="0" applyFill="1" applyBorder="1" applyAlignment="1" applyProtection="1" quotePrefix="1">
      <alignment horizontal="left"/>
      <protection/>
    </xf>
    <xf numFmtId="0" fontId="0" fillId="4" borderId="5" xfId="0" applyFill="1" applyBorder="1" applyAlignment="1" applyProtection="1" quotePrefix="1">
      <alignment horizontal="left"/>
      <protection/>
    </xf>
    <xf numFmtId="0" fontId="0" fillId="4" borderId="7" xfId="0" applyFill="1" applyBorder="1" applyAlignment="1" applyProtection="1">
      <alignment/>
      <protection/>
    </xf>
    <xf numFmtId="0" fontId="0" fillId="4" borderId="0" xfId="0" applyFill="1" applyBorder="1" applyAlignment="1" applyProtection="1" quotePrefix="1">
      <alignment horizontal="left"/>
      <protection/>
    </xf>
    <xf numFmtId="0" fontId="0" fillId="4" borderId="6" xfId="0" applyFill="1" applyBorder="1" applyAlignment="1" applyProtection="1" quotePrefix="1">
      <alignment horizontal="left"/>
      <protection/>
    </xf>
    <xf numFmtId="0" fontId="0" fillId="4" borderId="6" xfId="0" applyFill="1" applyBorder="1" applyAlignment="1" applyProtection="1">
      <alignment/>
      <protection/>
    </xf>
    <xf numFmtId="0" fontId="0" fillId="4" borderId="7" xfId="0" applyFill="1" applyBorder="1" applyAlignment="1" applyProtection="1" quotePrefix="1">
      <alignment horizontal="left"/>
      <protection/>
    </xf>
    <xf numFmtId="0" fontId="0" fillId="4" borderId="1" xfId="0" applyFill="1" applyBorder="1" applyAlignment="1" applyProtection="1">
      <alignment/>
      <protection/>
    </xf>
    <xf numFmtId="0" fontId="7" fillId="4" borderId="2" xfId="0" applyFont="1" applyFill="1" applyBorder="1" applyAlignment="1" applyProtection="1">
      <alignment horizontal="left"/>
      <protection/>
    </xf>
    <xf numFmtId="0" fontId="6" fillId="4" borderId="2" xfId="0" applyFont="1" applyFill="1" applyBorder="1" applyAlignment="1" applyProtection="1">
      <alignment horizontal="centerContinuous"/>
      <protection/>
    </xf>
    <xf numFmtId="0" fontId="0" fillId="4" borderId="2" xfId="0" applyFill="1" applyBorder="1" applyAlignment="1" applyProtection="1">
      <alignment/>
      <protection/>
    </xf>
    <xf numFmtId="0" fontId="0" fillId="4" borderId="11" xfId="0" applyFill="1" applyBorder="1" applyAlignment="1" applyProtection="1">
      <alignment/>
      <protection/>
    </xf>
    <xf numFmtId="0" fontId="7" fillId="2" borderId="0" xfId="0" applyFont="1" applyFill="1" applyBorder="1" applyAlignment="1" applyProtection="1">
      <alignment horizontal="centerContinuous"/>
      <protection/>
    </xf>
    <xf numFmtId="0" fontId="8" fillId="2" borderId="0" xfId="0" applyFont="1" applyFill="1" applyBorder="1" applyAlignment="1" applyProtection="1">
      <alignment horizontal="right"/>
      <protection/>
    </xf>
    <xf numFmtId="0" fontId="8" fillId="2" borderId="7" xfId="0" applyFont="1" applyFill="1" applyBorder="1" applyAlignment="1" applyProtection="1">
      <alignment horizontal="right"/>
      <protection/>
    </xf>
    <xf numFmtId="0" fontId="1" fillId="2" borderId="0" xfId="0" applyFont="1" applyFill="1" applyBorder="1" applyAlignment="1" applyProtection="1">
      <alignment horizontal="centerContinuous"/>
      <protection/>
    </xf>
    <xf numFmtId="0" fontId="13" fillId="2" borderId="0" xfId="0" applyFont="1" applyFill="1" applyBorder="1" applyAlignment="1" applyProtection="1">
      <alignment/>
      <protection/>
    </xf>
    <xf numFmtId="0" fontId="1" fillId="2" borderId="4" xfId="0" applyFont="1" applyFill="1" applyBorder="1" applyAlignment="1" applyProtection="1">
      <alignment horizontal="center"/>
      <protection/>
    </xf>
    <xf numFmtId="0" fontId="1" fillId="2" borderId="20" xfId="0" applyFont="1" applyFill="1" applyBorder="1" applyAlignment="1" applyProtection="1">
      <alignment horizontal="centerContinuous"/>
      <protection/>
    </xf>
    <xf numFmtId="0" fontId="1" fillId="2" borderId="7" xfId="0" applyFont="1" applyFill="1" applyBorder="1" applyAlignment="1" applyProtection="1">
      <alignment horizontal="right"/>
      <protection/>
    </xf>
    <xf numFmtId="0" fontId="0" fillId="2" borderId="2" xfId="0" applyFill="1" applyBorder="1" applyAlignment="1" applyProtection="1">
      <alignment horizontal="left"/>
      <protection/>
    </xf>
    <xf numFmtId="0" fontId="10" fillId="2" borderId="4" xfId="0" applyFont="1" applyFill="1" applyBorder="1" applyAlignment="1" applyProtection="1">
      <alignment horizontal="right"/>
      <protection/>
    </xf>
    <xf numFmtId="0" fontId="10" fillId="2" borderId="4" xfId="0" applyFont="1" applyFill="1" applyBorder="1" applyAlignment="1" applyProtection="1">
      <alignment/>
      <protection/>
    </xf>
    <xf numFmtId="0" fontId="23" fillId="2" borderId="4" xfId="0" applyFont="1" applyFill="1" applyBorder="1" applyAlignment="1" applyProtection="1" quotePrefix="1">
      <alignment horizontal="left"/>
      <protection/>
    </xf>
    <xf numFmtId="0" fontId="19" fillId="2" borderId="4" xfId="0" applyFont="1" applyFill="1" applyBorder="1" applyAlignment="1" applyProtection="1">
      <alignment/>
      <protection/>
    </xf>
    <xf numFmtId="181" fontId="7" fillId="2" borderId="0" xfId="0" applyNumberFormat="1" applyFont="1" applyFill="1" applyBorder="1" applyAlignment="1" applyProtection="1">
      <alignment horizontal="center" wrapText="1"/>
      <protection/>
    </xf>
    <xf numFmtId="0" fontId="0" fillId="2" borderId="0" xfId="0" applyFill="1" applyBorder="1" applyAlignment="1" applyProtection="1">
      <alignment horizontal="center"/>
      <protection/>
    </xf>
    <xf numFmtId="3" fontId="0" fillId="2" borderId="10" xfId="0" applyNumberFormat="1" applyFill="1" applyBorder="1" applyAlignment="1" applyProtection="1">
      <alignment horizontal="center" vertical="center"/>
      <protection/>
    </xf>
    <xf numFmtId="3" fontId="13" fillId="2" borderId="14" xfId="0" applyNumberFormat="1" applyFont="1" applyFill="1" applyBorder="1" applyAlignment="1" applyProtection="1">
      <alignment vertical="center" wrapText="1"/>
      <protection/>
    </xf>
    <xf numFmtId="3" fontId="0" fillId="2" borderId="6" xfId="0" applyNumberFormat="1" applyFill="1" applyBorder="1" applyAlignment="1" applyProtection="1">
      <alignment horizontal="center" vertical="center"/>
      <protection/>
    </xf>
    <xf numFmtId="0" fontId="13" fillId="2" borderId="20" xfId="0" applyFont="1" applyFill="1" applyBorder="1" applyAlignment="1" applyProtection="1">
      <alignment vertical="center"/>
      <protection/>
    </xf>
    <xf numFmtId="0" fontId="13" fillId="2" borderId="0" xfId="0" applyFont="1" applyFill="1" applyBorder="1" applyAlignment="1" applyProtection="1">
      <alignment vertical="center"/>
      <protection/>
    </xf>
    <xf numFmtId="3" fontId="0" fillId="2" borderId="10" xfId="0" applyNumberFormat="1" applyFill="1" applyBorder="1" applyAlignment="1" applyProtection="1">
      <alignment vertical="center"/>
      <protection/>
    </xf>
    <xf numFmtId="3" fontId="0" fillId="2" borderId="6" xfId="0" applyNumberFormat="1" applyFill="1" applyBorder="1" applyAlignment="1" applyProtection="1">
      <alignment vertical="center"/>
      <protection/>
    </xf>
    <xf numFmtId="3" fontId="0" fillId="2" borderId="10" xfId="0" applyNumberFormat="1" applyFill="1" applyBorder="1" applyAlignment="1" applyProtection="1">
      <alignment horizontal="center"/>
      <protection/>
    </xf>
    <xf numFmtId="3" fontId="0" fillId="2" borderId="6" xfId="0" applyNumberFormat="1" applyFill="1" applyBorder="1" applyAlignment="1" applyProtection="1">
      <alignment horizontal="center"/>
      <protection/>
    </xf>
    <xf numFmtId="0" fontId="13" fillId="2" borderId="20" xfId="0" applyFont="1" applyFill="1" applyBorder="1" applyAlignment="1" applyProtection="1">
      <alignment vertical="center" wrapText="1"/>
      <protection/>
    </xf>
    <xf numFmtId="0" fontId="13" fillId="2" borderId="0" xfId="0" applyFont="1" applyFill="1" applyBorder="1" applyAlignment="1" applyProtection="1">
      <alignment vertical="center" wrapText="1"/>
      <protection/>
    </xf>
    <xf numFmtId="3" fontId="13" fillId="2" borderId="20" xfId="0" applyNumberFormat="1" applyFont="1" applyFill="1" applyBorder="1" applyAlignment="1" applyProtection="1">
      <alignment vertical="center" wrapText="1"/>
      <protection/>
    </xf>
    <xf numFmtId="3" fontId="13" fillId="2" borderId="0" xfId="0" applyNumberFormat="1" applyFont="1" applyFill="1" applyBorder="1" applyAlignment="1" applyProtection="1">
      <alignment vertical="center" wrapText="1"/>
      <protection/>
    </xf>
    <xf numFmtId="4" fontId="0" fillId="2" borderId="10" xfId="0" applyNumberFormat="1" applyFill="1" applyBorder="1" applyAlignment="1" applyProtection="1">
      <alignment horizontal="center"/>
      <protection/>
    </xf>
    <xf numFmtId="4" fontId="0" fillId="2" borderId="6" xfId="0" applyNumberFormat="1" applyFill="1" applyBorder="1" applyAlignment="1" applyProtection="1">
      <alignment horizontal="center"/>
      <protection/>
    </xf>
    <xf numFmtId="198" fontId="0" fillId="2" borderId="10" xfId="0" applyNumberFormat="1" applyFill="1" applyBorder="1" applyAlignment="1" applyProtection="1">
      <alignment horizontal="center"/>
      <protection/>
    </xf>
    <xf numFmtId="198" fontId="0" fillId="2" borderId="6" xfId="0" applyNumberFormat="1" applyFill="1" applyBorder="1" applyAlignment="1" applyProtection="1">
      <alignment horizontal="center"/>
      <protection/>
    </xf>
    <xf numFmtId="0" fontId="17" fillId="2" borderId="20" xfId="0" applyFont="1" applyFill="1" applyBorder="1" applyAlignment="1" applyProtection="1">
      <alignment vertical="center" wrapText="1"/>
      <protection/>
    </xf>
    <xf numFmtId="0" fontId="17" fillId="2" borderId="0" xfId="0" applyFont="1" applyFill="1" applyBorder="1" applyAlignment="1" applyProtection="1">
      <alignment vertical="center" wrapText="1"/>
      <protection/>
    </xf>
    <xf numFmtId="2" fontId="1" fillId="2" borderId="2" xfId="0" applyNumberFormat="1" applyFont="1" applyFill="1" applyBorder="1" applyAlignment="1" applyProtection="1">
      <alignment vertical="center"/>
      <protection/>
    </xf>
    <xf numFmtId="198" fontId="0" fillId="2" borderId="10" xfId="0" applyNumberFormat="1" applyFill="1" applyBorder="1" applyAlignment="1" applyProtection="1">
      <alignment vertical="center"/>
      <protection/>
    </xf>
    <xf numFmtId="198" fontId="0" fillId="2" borderId="6" xfId="0" applyNumberFormat="1" applyFill="1" applyBorder="1" applyAlignment="1" applyProtection="1">
      <alignment vertical="center"/>
      <protection/>
    </xf>
    <xf numFmtId="0" fontId="0" fillId="2" borderId="20" xfId="0" applyFill="1" applyBorder="1" applyAlignment="1" applyProtection="1">
      <alignment vertical="center"/>
      <protection/>
    </xf>
    <xf numFmtId="0" fontId="1" fillId="2" borderId="4" xfId="0" applyFont="1" applyFill="1" applyBorder="1" applyAlignment="1" applyProtection="1">
      <alignment horizontal="left" wrapText="1"/>
      <protection/>
    </xf>
    <xf numFmtId="0" fontId="1" fillId="2" borderId="0" xfId="0" applyFont="1" applyFill="1" applyBorder="1" applyAlignment="1" applyProtection="1">
      <alignment horizontal="left" wrapText="1"/>
      <protection/>
    </xf>
    <xf numFmtId="2" fontId="1" fillId="2" borderId="0" xfId="0" applyNumberFormat="1" applyFont="1" applyFill="1" applyBorder="1" applyAlignment="1" applyProtection="1">
      <alignment/>
      <protection/>
    </xf>
    <xf numFmtId="0" fontId="53" fillId="0" borderId="0" xfId="0" applyFont="1" applyBorder="1" applyAlignment="1" applyProtection="1">
      <alignment horizontal="center" wrapText="1"/>
      <protection/>
    </xf>
    <xf numFmtId="0" fontId="0" fillId="3" borderId="3" xfId="0" applyFill="1" applyBorder="1" applyAlignment="1" applyProtection="1">
      <alignment/>
      <protection/>
    </xf>
    <xf numFmtId="0" fontId="1" fillId="3" borderId="4" xfId="0" applyFont="1" applyFill="1" applyBorder="1" applyAlignment="1" applyProtection="1">
      <alignment/>
      <protection/>
    </xf>
    <xf numFmtId="0" fontId="0" fillId="3" borderId="4" xfId="0" applyFill="1" applyBorder="1" applyAlignment="1" applyProtection="1">
      <alignment/>
      <protection/>
    </xf>
    <xf numFmtId="2" fontId="1" fillId="3" borderId="4" xfId="0" applyNumberFormat="1" applyFont="1" applyFill="1" applyBorder="1" applyAlignment="1" applyProtection="1">
      <alignment horizontal="center"/>
      <protection/>
    </xf>
    <xf numFmtId="0" fontId="0" fillId="3" borderId="5" xfId="0" applyFill="1" applyBorder="1" applyAlignment="1" applyProtection="1">
      <alignment/>
      <protection/>
    </xf>
    <xf numFmtId="0" fontId="0" fillId="3" borderId="7" xfId="0" applyFill="1" applyBorder="1" applyAlignment="1" applyProtection="1">
      <alignment/>
      <protection/>
    </xf>
    <xf numFmtId="0" fontId="0" fillId="3" borderId="6" xfId="0" applyFill="1" applyBorder="1" applyAlignment="1" applyProtection="1">
      <alignment/>
      <protection/>
    </xf>
    <xf numFmtId="0" fontId="7" fillId="2" borderId="7" xfId="0" applyFont="1" applyFill="1" applyBorder="1" applyAlignment="1" applyProtection="1">
      <alignment/>
      <protection/>
    </xf>
    <xf numFmtId="0" fontId="17" fillId="3" borderId="0" xfId="0" applyFont="1" applyFill="1" applyBorder="1" applyAlignment="1" applyProtection="1">
      <alignment horizontal="left" indent="1"/>
      <protection/>
    </xf>
    <xf numFmtId="0" fontId="0" fillId="3" borderId="0" xfId="0" applyFill="1" applyBorder="1" applyAlignment="1" applyProtection="1">
      <alignment horizontal="right"/>
      <protection/>
    </xf>
    <xf numFmtId="0" fontId="1" fillId="2" borderId="7" xfId="0" applyFont="1" applyFill="1" applyBorder="1" applyAlignment="1" applyProtection="1">
      <alignment/>
      <protection/>
    </xf>
    <xf numFmtId="0" fontId="0" fillId="2" borderId="11" xfId="0" applyFill="1" applyBorder="1" applyAlignment="1" applyProtection="1">
      <alignment horizontal="right"/>
      <protection/>
    </xf>
    <xf numFmtId="0" fontId="0" fillId="3" borderId="1" xfId="0" applyFill="1" applyBorder="1" applyAlignment="1" applyProtection="1">
      <alignment/>
      <protection/>
    </xf>
    <xf numFmtId="0" fontId="17" fillId="3" borderId="2" xfId="0" applyFont="1" applyFill="1" applyBorder="1" applyAlignment="1" applyProtection="1">
      <alignment/>
      <protection/>
    </xf>
    <xf numFmtId="0" fontId="0" fillId="3" borderId="2" xfId="0" applyFill="1" applyBorder="1" applyAlignment="1" applyProtection="1">
      <alignment horizontal="right"/>
      <protection/>
    </xf>
    <xf numFmtId="0" fontId="0" fillId="3" borderId="2" xfId="0" applyFill="1" applyBorder="1" applyAlignment="1" applyProtection="1">
      <alignment/>
      <protection/>
    </xf>
    <xf numFmtId="0" fontId="0" fillId="3" borderId="11" xfId="0" applyFill="1" applyBorder="1" applyAlignment="1" applyProtection="1">
      <alignment/>
      <protection/>
    </xf>
    <xf numFmtId="0" fontId="0" fillId="3" borderId="0" xfId="0" applyFill="1" applyAlignment="1" applyProtection="1">
      <alignment/>
      <protection/>
    </xf>
    <xf numFmtId="0" fontId="0" fillId="10" borderId="3" xfId="0" applyFill="1" applyBorder="1" applyAlignment="1" applyProtection="1">
      <alignment/>
      <protection/>
    </xf>
    <xf numFmtId="0" fontId="1" fillId="10" borderId="7" xfId="0" applyFont="1" applyFill="1" applyBorder="1" applyAlignment="1" applyProtection="1">
      <alignment/>
      <protection/>
    </xf>
    <xf numFmtId="0" fontId="1" fillId="10" borderId="0" xfId="0" applyFont="1" applyFill="1" applyBorder="1" applyAlignment="1" applyProtection="1">
      <alignment/>
      <protection/>
    </xf>
    <xf numFmtId="0" fontId="0" fillId="10" borderId="8" xfId="0" applyFill="1" applyBorder="1" applyAlignment="1" applyProtection="1">
      <alignment/>
      <protection/>
    </xf>
    <xf numFmtId="0" fontId="0" fillId="10" borderId="7" xfId="0" applyFill="1" applyBorder="1" applyAlignment="1" applyProtection="1">
      <alignment/>
      <protection/>
    </xf>
    <xf numFmtId="179" fontId="0" fillId="10" borderId="0" xfId="0" applyNumberFormat="1" applyFill="1" applyBorder="1" applyAlignment="1" applyProtection="1">
      <alignment/>
      <protection/>
    </xf>
    <xf numFmtId="2" fontId="0" fillId="10" borderId="0" xfId="0" applyNumberFormat="1" applyFill="1" applyBorder="1" applyAlignment="1" applyProtection="1">
      <alignment/>
      <protection/>
    </xf>
    <xf numFmtId="1" fontId="0" fillId="10" borderId="16" xfId="0" applyNumberFormat="1" applyFill="1" applyBorder="1" applyAlignment="1" applyProtection="1">
      <alignment/>
      <protection/>
    </xf>
    <xf numFmtId="0" fontId="0" fillId="0" borderId="7" xfId="0" applyFill="1" applyBorder="1" applyAlignment="1" applyProtection="1">
      <alignment/>
      <protection/>
    </xf>
    <xf numFmtId="0" fontId="0" fillId="0" borderId="33" xfId="0" applyBorder="1" applyAlignment="1" applyProtection="1">
      <alignment/>
      <protection/>
    </xf>
    <xf numFmtId="0" fontId="0" fillId="0" borderId="29" xfId="0" applyBorder="1" applyAlignment="1" applyProtection="1">
      <alignment/>
      <protection/>
    </xf>
    <xf numFmtId="0" fontId="0" fillId="10" borderId="1" xfId="0" applyFill="1" applyBorder="1" applyAlignment="1" applyProtection="1">
      <alignment/>
      <protection/>
    </xf>
    <xf numFmtId="0" fontId="0" fillId="10" borderId="34" xfId="0" applyFill="1" applyBorder="1" applyAlignment="1" applyProtection="1">
      <alignment/>
      <protection/>
    </xf>
    <xf numFmtId="0" fontId="52" fillId="0" borderId="0" xfId="0" applyFont="1" applyAlignment="1" applyProtection="1">
      <alignment/>
      <protection/>
    </xf>
    <xf numFmtId="0" fontId="52" fillId="0" borderId="0" xfId="0" applyFont="1" applyBorder="1" applyAlignment="1" applyProtection="1">
      <alignment/>
      <protection/>
    </xf>
    <xf numFmtId="0" fontId="52" fillId="0" borderId="0" xfId="0" applyFont="1" applyBorder="1" applyAlignment="1" applyProtection="1">
      <alignment wrapText="1"/>
      <protection/>
    </xf>
    <xf numFmtId="0" fontId="54" fillId="0" borderId="0" xfId="0" applyFont="1" applyFill="1" applyBorder="1" applyAlignment="1" applyProtection="1">
      <alignment horizontal="center"/>
      <protection/>
    </xf>
    <xf numFmtId="0" fontId="54" fillId="0" borderId="0" xfId="0" applyFont="1" applyBorder="1" applyAlignment="1" applyProtection="1">
      <alignment horizontal="center"/>
      <protection/>
    </xf>
    <xf numFmtId="3" fontId="52" fillId="11" borderId="0" xfId="0" applyNumberFormat="1" applyFont="1" applyFill="1" applyBorder="1" applyAlignment="1" applyProtection="1">
      <alignment horizontal="center" vertical="center"/>
      <protection/>
    </xf>
    <xf numFmtId="3" fontId="52" fillId="0" borderId="0" xfId="0" applyNumberFormat="1" applyFont="1" applyBorder="1" applyAlignment="1" applyProtection="1">
      <alignment horizontal="center" vertical="center"/>
      <protection/>
    </xf>
    <xf numFmtId="3" fontId="54" fillId="0" borderId="0" xfId="0" applyNumberFormat="1" applyFont="1" applyBorder="1" applyAlignment="1" applyProtection="1">
      <alignment horizontal="center" vertical="center"/>
      <protection/>
    </xf>
    <xf numFmtId="0" fontId="52" fillId="0" borderId="0" xfId="0" applyFont="1" applyBorder="1" applyAlignment="1" applyProtection="1">
      <alignment horizontal="center" vertical="center"/>
      <protection/>
    </xf>
    <xf numFmtId="3" fontId="52" fillId="0" borderId="0" xfId="0" applyNumberFormat="1" applyFont="1" applyBorder="1" applyAlignment="1" applyProtection="1">
      <alignment horizontal="center"/>
      <protection/>
    </xf>
    <xf numFmtId="4" fontId="52" fillId="0" borderId="0" xfId="0" applyNumberFormat="1" applyFont="1" applyBorder="1" applyAlignment="1" applyProtection="1">
      <alignment horizontal="center"/>
      <protection/>
    </xf>
    <xf numFmtId="198" fontId="52" fillId="0" borderId="0" xfId="0" applyNumberFormat="1" applyFont="1" applyBorder="1" applyAlignment="1" applyProtection="1">
      <alignment horizontal="center"/>
      <protection/>
    </xf>
    <xf numFmtId="198" fontId="52" fillId="0" borderId="0" xfId="0" applyNumberFormat="1" applyFont="1" applyBorder="1" applyAlignment="1" applyProtection="1">
      <alignment vertical="center"/>
      <protection/>
    </xf>
    <xf numFmtId="198" fontId="52" fillId="0" borderId="0" xfId="0" applyNumberFormat="1" applyFont="1" applyBorder="1" applyAlignment="1" applyProtection="1">
      <alignment horizontal="center" vertical="center"/>
      <protection/>
    </xf>
    <xf numFmtId="0" fontId="52" fillId="10" borderId="4" xfId="0" applyFont="1" applyFill="1" applyBorder="1" applyAlignment="1" applyProtection="1">
      <alignment/>
      <protection/>
    </xf>
    <xf numFmtId="0" fontId="52" fillId="10" borderId="0" xfId="0" applyFont="1" applyFill="1" applyBorder="1" applyAlignment="1" applyProtection="1">
      <alignment/>
      <protection/>
    </xf>
    <xf numFmtId="1" fontId="52" fillId="10" borderId="0" xfId="0" applyNumberFormat="1" applyFont="1" applyFill="1" applyBorder="1" applyAlignment="1" applyProtection="1">
      <alignment/>
      <protection/>
    </xf>
    <xf numFmtId="0" fontId="52" fillId="10" borderId="2" xfId="0" applyFont="1" applyFill="1" applyBorder="1" applyAlignment="1" applyProtection="1">
      <alignment/>
      <protection/>
    </xf>
    <xf numFmtId="0" fontId="55" fillId="2" borderId="2" xfId="0" applyFont="1" applyFill="1" applyBorder="1" applyAlignment="1" applyProtection="1">
      <alignment horizontal="right"/>
      <protection/>
    </xf>
    <xf numFmtId="0" fontId="17" fillId="2" borderId="0" xfId="0" applyFont="1" applyFill="1" applyBorder="1" applyAlignment="1" applyProtection="1">
      <alignment/>
      <protection/>
    </xf>
    <xf numFmtId="0" fontId="27" fillId="4" borderId="21" xfId="0" applyFont="1" applyFill="1" applyBorder="1" applyAlignment="1" applyProtection="1">
      <alignment vertical="center"/>
      <protection/>
    </xf>
    <xf numFmtId="0" fontId="27" fillId="4" borderId="21" xfId="0" applyFont="1" applyFill="1" applyBorder="1" applyAlignment="1" applyProtection="1">
      <alignment vertical="center"/>
      <protection/>
    </xf>
    <xf numFmtId="0" fontId="41" fillId="3" borderId="0" xfId="0" applyFont="1" applyFill="1" applyBorder="1" applyAlignment="1" applyProtection="1">
      <alignment horizontal="centerContinuous" vertical="center"/>
      <protection/>
    </xf>
    <xf numFmtId="0" fontId="17" fillId="3" borderId="35" xfId="0" applyFont="1" applyFill="1" applyBorder="1" applyAlignment="1">
      <alignment/>
    </xf>
    <xf numFmtId="3" fontId="12" fillId="3" borderId="36" xfId="0" applyNumberFormat="1" applyFont="1" applyFill="1" applyBorder="1" applyAlignment="1" applyProtection="1">
      <alignment vertical="center"/>
      <protection/>
    </xf>
    <xf numFmtId="3" fontId="12" fillId="3" borderId="37" xfId="0" applyNumberFormat="1" applyFont="1" applyFill="1" applyBorder="1" applyAlignment="1" applyProtection="1">
      <alignment vertical="center"/>
      <protection/>
    </xf>
    <xf numFmtId="3" fontId="12" fillId="3" borderId="38" xfId="0" applyNumberFormat="1" applyFont="1" applyFill="1" applyBorder="1" applyAlignment="1" applyProtection="1">
      <alignment vertical="center"/>
      <protection locked="0"/>
    </xf>
    <xf numFmtId="3" fontId="12" fillId="3" borderId="39" xfId="0" applyNumberFormat="1" applyFont="1" applyFill="1" applyBorder="1" applyAlignment="1" applyProtection="1">
      <alignment vertical="center"/>
      <protection/>
    </xf>
    <xf numFmtId="3" fontId="12" fillId="3" borderId="40" xfId="0" applyNumberFormat="1" applyFont="1" applyFill="1" applyBorder="1" applyAlignment="1" applyProtection="1">
      <alignment vertical="center"/>
      <protection/>
    </xf>
    <xf numFmtId="3" fontId="12" fillId="2" borderId="0" xfId="0" applyNumberFormat="1" applyFont="1" applyFill="1" applyBorder="1" applyAlignment="1" applyProtection="1">
      <alignment vertical="center"/>
      <protection/>
    </xf>
    <xf numFmtId="4" fontId="13" fillId="3" borderId="36" xfId="0" applyNumberFormat="1" applyFont="1" applyFill="1" applyBorder="1" applyAlignment="1" applyProtection="1">
      <alignment vertical="center"/>
      <protection/>
    </xf>
    <xf numFmtId="198" fontId="12" fillId="3" borderId="36" xfId="0" applyNumberFormat="1" applyFont="1" applyFill="1" applyBorder="1" applyAlignment="1" applyProtection="1">
      <alignment vertical="center"/>
      <protection/>
    </xf>
    <xf numFmtId="3" fontId="12" fillId="3" borderId="41" xfId="0" applyNumberFormat="1" applyFont="1" applyFill="1" applyBorder="1" applyAlignment="1" applyProtection="1">
      <alignment vertical="center"/>
      <protection/>
    </xf>
    <xf numFmtId="0" fontId="16" fillId="0" borderId="13" xfId="0" applyFont="1" applyFill="1" applyBorder="1" applyAlignment="1" applyProtection="1">
      <alignment/>
      <protection locked="0"/>
    </xf>
    <xf numFmtId="3" fontId="17" fillId="0" borderId="13" xfId="0" applyNumberFormat="1" applyFont="1" applyFill="1" applyBorder="1" applyAlignment="1" applyProtection="1">
      <alignment/>
      <protection locked="0"/>
    </xf>
    <xf numFmtId="3" fontId="15" fillId="2" borderId="0" xfId="0" applyNumberFormat="1" applyFont="1" applyFill="1" applyBorder="1" applyAlignment="1" applyProtection="1">
      <alignment/>
      <protection/>
    </xf>
    <xf numFmtId="0" fontId="6" fillId="0" borderId="36" xfId="0" applyFont="1" applyFill="1" applyBorder="1" applyAlignment="1" applyProtection="1">
      <alignment wrapText="1"/>
      <protection/>
    </xf>
    <xf numFmtId="0" fontId="17" fillId="0" borderId="0" xfId="0" applyFont="1" applyAlignment="1" applyProtection="1">
      <alignment/>
      <protection/>
    </xf>
    <xf numFmtId="0" fontId="17" fillId="0" borderId="0" xfId="0" applyFont="1" applyBorder="1" applyAlignment="1" applyProtection="1">
      <alignment/>
      <protection/>
    </xf>
    <xf numFmtId="0" fontId="17" fillId="0" borderId="0" xfId="0" applyFont="1" applyAlignment="1" applyProtection="1">
      <alignment/>
      <protection/>
    </xf>
    <xf numFmtId="0" fontId="17" fillId="0" borderId="0" xfId="0" applyFont="1" applyBorder="1" applyAlignment="1" applyProtection="1">
      <alignment/>
      <protection/>
    </xf>
    <xf numFmtId="0" fontId="30" fillId="10" borderId="24" xfId="0" applyFont="1" applyFill="1" applyBorder="1" applyAlignment="1" applyProtection="1">
      <alignment/>
      <protection/>
    </xf>
    <xf numFmtId="0" fontId="0" fillId="10" borderId="25" xfId="0" applyFill="1" applyBorder="1" applyAlignment="1" applyProtection="1">
      <alignment/>
      <protection/>
    </xf>
    <xf numFmtId="3" fontId="0" fillId="10" borderId="0" xfId="0" applyNumberFormat="1" applyFill="1" applyBorder="1" applyAlignment="1" applyProtection="1">
      <alignment/>
      <protection/>
    </xf>
    <xf numFmtId="0" fontId="30" fillId="0" borderId="0" xfId="0" applyFont="1" applyAlignment="1" applyProtection="1">
      <alignment/>
      <protection/>
    </xf>
    <xf numFmtId="0" fontId="30" fillId="10" borderId="8" xfId="0" applyFont="1" applyFill="1" applyBorder="1" applyAlignment="1" applyProtection="1">
      <alignment/>
      <protection/>
    </xf>
    <xf numFmtId="0" fontId="0" fillId="10" borderId="33" xfId="0" applyFill="1" applyBorder="1" applyAlignment="1" applyProtection="1">
      <alignment/>
      <protection/>
    </xf>
    <xf numFmtId="0" fontId="0" fillId="10" borderId="29" xfId="0" applyFill="1" applyBorder="1" applyAlignment="1" applyProtection="1">
      <alignment/>
      <protection/>
    </xf>
    <xf numFmtId="0" fontId="0" fillId="10" borderId="30" xfId="0" applyFill="1" applyBorder="1" applyAlignment="1" applyProtection="1">
      <alignment/>
      <protection/>
    </xf>
    <xf numFmtId="0" fontId="0" fillId="10" borderId="28" xfId="0" applyFill="1" applyBorder="1" applyAlignment="1" applyProtection="1">
      <alignment/>
      <protection/>
    </xf>
    <xf numFmtId="0" fontId="31" fillId="4" borderId="4" xfId="0" applyFont="1" applyFill="1" applyBorder="1" applyAlignment="1" applyProtection="1">
      <alignment/>
      <protection/>
    </xf>
    <xf numFmtId="0" fontId="31" fillId="4" borderId="5" xfId="0" applyFont="1" applyFill="1" applyBorder="1" applyAlignment="1" applyProtection="1">
      <alignment/>
      <protection/>
    </xf>
    <xf numFmtId="0" fontId="31" fillId="4" borderId="7" xfId="0" applyFont="1" applyFill="1" applyBorder="1" applyAlignment="1" applyProtection="1">
      <alignment horizontal="center"/>
      <protection/>
    </xf>
    <xf numFmtId="0" fontId="31" fillId="4" borderId="6" xfId="0" applyFont="1" applyFill="1" applyBorder="1" applyAlignment="1" applyProtection="1">
      <alignment horizontal="center"/>
      <protection/>
    </xf>
    <xf numFmtId="0" fontId="31" fillId="4" borderId="1" xfId="0" applyFont="1" applyFill="1" applyBorder="1" applyAlignment="1" applyProtection="1">
      <alignment horizontal="center"/>
      <protection/>
    </xf>
    <xf numFmtId="0" fontId="21" fillId="4" borderId="2" xfId="0" applyFont="1" applyFill="1" applyBorder="1" applyAlignment="1" applyProtection="1">
      <alignment horizontal="centerContinuous"/>
      <protection/>
    </xf>
    <xf numFmtId="0" fontId="31" fillId="4" borderId="11" xfId="0" applyFont="1" applyFill="1" applyBorder="1" applyAlignment="1" applyProtection="1">
      <alignment horizontal="center"/>
      <protection/>
    </xf>
    <xf numFmtId="0" fontId="0" fillId="2" borderId="0" xfId="0" applyFont="1" applyFill="1" applyBorder="1" applyAlignment="1" applyProtection="1">
      <alignment/>
      <protection/>
    </xf>
    <xf numFmtId="0" fontId="12" fillId="2" borderId="2" xfId="0" applyFont="1" applyFill="1" applyBorder="1" applyAlignment="1" applyProtection="1">
      <alignment/>
      <protection/>
    </xf>
    <xf numFmtId="0" fontId="52" fillId="3" borderId="0" xfId="0" applyFont="1" applyFill="1" applyBorder="1" applyAlignment="1" applyProtection="1">
      <alignment/>
      <protection/>
    </xf>
    <xf numFmtId="0" fontId="52" fillId="3" borderId="0" xfId="0" applyFont="1" applyFill="1" applyBorder="1" applyAlignment="1" applyProtection="1">
      <alignment horizontal="center"/>
      <protection/>
    </xf>
    <xf numFmtId="0" fontId="52" fillId="0" borderId="0" xfId="0" applyFont="1" applyFill="1" applyBorder="1" applyAlignment="1" applyProtection="1">
      <alignment/>
      <protection/>
    </xf>
    <xf numFmtId="0" fontId="56" fillId="0" borderId="0" xfId="0" applyFont="1" applyFill="1" applyBorder="1" applyAlignment="1" applyProtection="1">
      <alignment/>
      <protection/>
    </xf>
    <xf numFmtId="0" fontId="56" fillId="0" borderId="0" xfId="0" applyFont="1" applyAlignment="1">
      <alignment/>
    </xf>
    <xf numFmtId="0" fontId="56" fillId="0" borderId="0" xfId="0" applyFont="1" applyAlignment="1" applyProtection="1">
      <alignment/>
      <protection/>
    </xf>
    <xf numFmtId="0" fontId="56" fillId="0" borderId="0" xfId="0" applyFont="1" applyBorder="1" applyAlignment="1" applyProtection="1">
      <alignment/>
      <protection/>
    </xf>
    <xf numFmtId="0" fontId="53" fillId="0" borderId="0" xfId="0" applyFont="1" applyFill="1" applyBorder="1" applyAlignment="1" applyProtection="1">
      <alignment/>
      <protection/>
    </xf>
    <xf numFmtId="0" fontId="52" fillId="0" borderId="0" xfId="0" applyFont="1" applyAlignment="1">
      <alignment/>
    </xf>
    <xf numFmtId="0" fontId="56" fillId="3" borderId="0" xfId="0" applyFont="1" applyFill="1" applyBorder="1" applyAlignment="1" applyProtection="1">
      <alignment/>
      <protection/>
    </xf>
    <xf numFmtId="0" fontId="52" fillId="0" borderId="0" xfId="0" applyFont="1" applyAlignment="1">
      <alignment horizontal="right"/>
    </xf>
    <xf numFmtId="0" fontId="52" fillId="0" borderId="0" xfId="0" applyFont="1" applyAlignment="1" applyProtection="1">
      <alignment horizontal="right"/>
      <protection/>
    </xf>
    <xf numFmtId="3" fontId="52" fillId="0" borderId="0" xfId="0" applyNumberFormat="1" applyFont="1" applyAlignment="1" applyProtection="1">
      <alignment/>
      <protection/>
    </xf>
    <xf numFmtId="0" fontId="52" fillId="3" borderId="0" xfId="0" applyFont="1" applyFill="1" applyBorder="1" applyAlignment="1">
      <alignment/>
    </xf>
    <xf numFmtId="0" fontId="52" fillId="0" borderId="0" xfId="0" applyFont="1" applyFill="1" applyAlignment="1">
      <alignment/>
    </xf>
    <xf numFmtId="0" fontId="52" fillId="0" borderId="0" xfId="0" applyFont="1" applyFill="1" applyAlignment="1" applyProtection="1">
      <alignment/>
      <protection/>
    </xf>
    <xf numFmtId="0" fontId="52" fillId="10" borderId="23" xfId="0" applyFont="1" applyFill="1" applyBorder="1" applyAlignment="1" applyProtection="1">
      <alignment/>
      <protection/>
    </xf>
    <xf numFmtId="0" fontId="52" fillId="10" borderId="24" xfId="0" applyFont="1" applyFill="1" applyBorder="1" applyAlignment="1" applyProtection="1">
      <alignment/>
      <protection/>
    </xf>
    <xf numFmtId="0" fontId="52" fillId="10" borderId="26" xfId="0" applyFont="1" applyFill="1" applyBorder="1" applyAlignment="1" applyProtection="1">
      <alignment/>
      <protection/>
    </xf>
    <xf numFmtId="0" fontId="52" fillId="10" borderId="22" xfId="0" applyFont="1" applyFill="1" applyBorder="1" applyAlignment="1" applyProtection="1">
      <alignment horizontal="right"/>
      <protection/>
    </xf>
    <xf numFmtId="49" fontId="52" fillId="10" borderId="0" xfId="0" applyNumberFormat="1" applyFont="1" applyFill="1" applyBorder="1" applyAlignment="1" applyProtection="1">
      <alignment/>
      <protection/>
    </xf>
    <xf numFmtId="0" fontId="52" fillId="10" borderId="0" xfId="0" applyFont="1" applyFill="1" applyBorder="1" applyAlignment="1" applyProtection="1">
      <alignment horizontal="right"/>
      <protection/>
    </xf>
    <xf numFmtId="0" fontId="52" fillId="10" borderId="33" xfId="0" applyFont="1" applyFill="1" applyBorder="1" applyAlignment="1" applyProtection="1">
      <alignment horizontal="right"/>
      <protection/>
    </xf>
    <xf numFmtId="0" fontId="52" fillId="10" borderId="29" xfId="0" applyFont="1" applyFill="1" applyBorder="1" applyAlignment="1" applyProtection="1">
      <alignment horizontal="right"/>
      <protection/>
    </xf>
    <xf numFmtId="0" fontId="52" fillId="10" borderId="27" xfId="0" applyFont="1" applyFill="1" applyBorder="1" applyAlignment="1" applyProtection="1">
      <alignment/>
      <protection/>
    </xf>
    <xf numFmtId="0" fontId="52" fillId="10" borderId="16" xfId="0" applyFont="1" applyFill="1" applyBorder="1" applyAlignment="1" applyProtection="1">
      <alignment/>
      <protection/>
    </xf>
    <xf numFmtId="0" fontId="38" fillId="2" borderId="0" xfId="20" applyFill="1" applyBorder="1" applyAlignment="1" applyProtection="1">
      <alignment vertical="center"/>
      <protection/>
    </xf>
    <xf numFmtId="0" fontId="13" fillId="2" borderId="4" xfId="0" applyFont="1" applyFill="1" applyBorder="1" applyAlignment="1" applyProtection="1">
      <alignment vertical="center" wrapText="1"/>
      <protection/>
    </xf>
    <xf numFmtId="0" fontId="13" fillId="2" borderId="2" xfId="0" applyFont="1" applyFill="1" applyBorder="1" applyAlignment="1" applyProtection="1">
      <alignment vertical="center" wrapText="1"/>
      <protection/>
    </xf>
    <xf numFmtId="197" fontId="12" fillId="2" borderId="0" xfId="0" applyNumberFormat="1" applyFont="1" applyFill="1" applyBorder="1" applyAlignment="1" applyProtection="1">
      <alignment vertical="center"/>
      <protection/>
    </xf>
    <xf numFmtId="2" fontId="12" fillId="2" borderId="0" xfId="0" applyNumberFormat="1" applyFont="1" applyFill="1" applyBorder="1" applyAlignment="1" applyProtection="1">
      <alignment vertical="center"/>
      <protection/>
    </xf>
    <xf numFmtId="0" fontId="17" fillId="2" borderId="13" xfId="0" applyFont="1" applyFill="1" applyBorder="1" applyAlignment="1" applyProtection="1" quotePrefix="1">
      <alignment horizontal="left" vertical="top" wrapText="1"/>
      <protection/>
    </xf>
    <xf numFmtId="3" fontId="54" fillId="0" borderId="0" xfId="0" applyNumberFormat="1" applyFont="1" applyBorder="1" applyAlignment="1" applyProtection="1">
      <alignment horizontal="center" vertical="center"/>
      <protection/>
    </xf>
    <xf numFmtId="0" fontId="0" fillId="0" borderId="0" xfId="0" applyAlignment="1" quotePrefix="1">
      <alignment horizontal="left"/>
    </xf>
    <xf numFmtId="0" fontId="0" fillId="3" borderId="0" xfId="0" applyFill="1" applyAlignment="1" applyProtection="1">
      <alignment horizontal="left"/>
      <protection/>
    </xf>
    <xf numFmtId="0" fontId="17" fillId="2" borderId="10" xfId="0" applyFont="1" applyFill="1" applyBorder="1" applyAlignment="1" applyProtection="1">
      <alignment horizontal="right"/>
      <protection/>
    </xf>
    <xf numFmtId="0" fontId="0" fillId="12" borderId="20" xfId="0" applyFill="1" applyBorder="1" applyAlignment="1" applyProtection="1">
      <alignment/>
      <protection/>
    </xf>
    <xf numFmtId="0" fontId="0" fillId="3" borderId="0" xfId="0" applyFill="1" applyBorder="1" applyAlignment="1">
      <alignment wrapText="1"/>
    </xf>
    <xf numFmtId="3" fontId="52" fillId="0" borderId="0" xfId="0" applyNumberFormat="1" applyFont="1" applyAlignment="1">
      <alignment/>
    </xf>
    <xf numFmtId="0" fontId="57" fillId="0" borderId="0" xfId="0" applyFont="1" applyFill="1" applyAlignment="1">
      <alignment/>
    </xf>
    <xf numFmtId="0" fontId="57" fillId="0" borderId="0" xfId="0" applyFont="1" applyFill="1" applyAlignment="1">
      <alignment horizontal="right"/>
    </xf>
    <xf numFmtId="3" fontId="57" fillId="0" borderId="0" xfId="0" applyNumberFormat="1" applyFont="1" applyFill="1" applyAlignment="1">
      <alignment/>
    </xf>
    <xf numFmtId="0" fontId="57" fillId="0" borderId="0" xfId="0" applyFont="1" applyFill="1" applyAlignment="1" applyProtection="1">
      <alignment horizontal="right"/>
      <protection/>
    </xf>
    <xf numFmtId="3" fontId="57" fillId="0" borderId="0" xfId="0" applyNumberFormat="1" applyFont="1" applyFill="1" applyAlignment="1" applyProtection="1">
      <alignment/>
      <protection/>
    </xf>
    <xf numFmtId="198" fontId="57" fillId="0" borderId="0" xfId="0" applyNumberFormat="1" applyFont="1" applyFill="1" applyAlignment="1">
      <alignment/>
    </xf>
    <xf numFmtId="3" fontId="52" fillId="3" borderId="0" xfId="0" applyNumberFormat="1" applyFont="1" applyFill="1" applyBorder="1" applyAlignment="1" applyProtection="1">
      <alignment/>
      <protection/>
    </xf>
    <xf numFmtId="0" fontId="0" fillId="0" borderId="20" xfId="0" applyFill="1" applyBorder="1" applyAlignment="1" applyProtection="1">
      <alignment horizontal="right"/>
      <protection/>
    </xf>
    <xf numFmtId="0" fontId="52" fillId="0" borderId="0" xfId="0" applyFont="1" applyAlignment="1" applyProtection="1">
      <alignment horizontal="left"/>
      <protection/>
    </xf>
    <xf numFmtId="0" fontId="55" fillId="2" borderId="0" xfId="0" applyFont="1" applyFill="1" applyBorder="1" applyAlignment="1" applyProtection="1" quotePrefix="1">
      <alignment horizontal="right"/>
      <protection/>
    </xf>
    <xf numFmtId="3" fontId="7" fillId="0" borderId="36" xfId="0" applyNumberFormat="1" applyFont="1" applyFill="1" applyBorder="1" applyAlignment="1" applyProtection="1">
      <alignment/>
      <protection/>
    </xf>
    <xf numFmtId="0" fontId="58" fillId="2" borderId="0" xfId="0" applyFont="1" applyFill="1" applyBorder="1" applyAlignment="1" applyProtection="1" quotePrefix="1">
      <alignment horizontal="center"/>
      <protection/>
    </xf>
    <xf numFmtId="0" fontId="0" fillId="0" borderId="21" xfId="0" applyBorder="1" applyAlignment="1" applyProtection="1">
      <alignment/>
      <protection/>
    </xf>
    <xf numFmtId="0" fontId="0" fillId="0" borderId="42" xfId="0" applyBorder="1" applyAlignment="1" applyProtection="1">
      <alignment/>
      <protection/>
    </xf>
    <xf numFmtId="0" fontId="0" fillId="0" borderId="4" xfId="0" applyBorder="1" applyAlignment="1" applyProtection="1">
      <alignment/>
      <protection/>
    </xf>
    <xf numFmtId="0" fontId="0" fillId="10" borderId="42" xfId="0" applyFill="1" applyBorder="1" applyAlignment="1" applyProtection="1">
      <alignment/>
      <protection/>
    </xf>
    <xf numFmtId="0" fontId="1" fillId="10" borderId="7" xfId="0" applyFont="1" applyFill="1" applyBorder="1" applyAlignment="1" applyProtection="1">
      <alignment/>
      <protection/>
    </xf>
    <xf numFmtId="1" fontId="0" fillId="10" borderId="7" xfId="0" applyNumberFormat="1" applyFill="1" applyBorder="1" applyAlignment="1" applyProtection="1">
      <alignment/>
      <protection/>
    </xf>
    <xf numFmtId="0" fontId="0" fillId="0" borderId="7" xfId="0" applyBorder="1" applyAlignment="1" applyProtection="1">
      <alignment/>
      <protection/>
    </xf>
    <xf numFmtId="0" fontId="0" fillId="2" borderId="2" xfId="0" applyFont="1" applyFill="1" applyBorder="1" applyAlignment="1">
      <alignment/>
    </xf>
    <xf numFmtId="0" fontId="0" fillId="2" borderId="11" xfId="0" applyFont="1" applyFill="1" applyBorder="1" applyAlignment="1">
      <alignment/>
    </xf>
    <xf numFmtId="0" fontId="0" fillId="0" borderId="0" xfId="0" applyFont="1" applyAlignment="1">
      <alignment/>
    </xf>
    <xf numFmtId="206" fontId="0" fillId="0" borderId="43" xfId="15" applyNumberFormat="1" applyFont="1" applyFill="1" applyBorder="1" applyAlignment="1" applyProtection="1">
      <alignment/>
      <protection/>
    </xf>
    <xf numFmtId="206" fontId="0" fillId="0" borderId="43" xfId="15" applyNumberFormat="1" applyFont="1" applyFill="1" applyBorder="1" applyAlignment="1" applyProtection="1">
      <alignment horizontal="right"/>
      <protection/>
    </xf>
    <xf numFmtId="206" fontId="0" fillId="0" borderId="43" xfId="15" applyNumberFormat="1" applyFont="1" applyFill="1" applyBorder="1" applyAlignment="1">
      <alignment/>
    </xf>
    <xf numFmtId="3" fontId="0" fillId="0" borderId="44" xfId="0" applyNumberFormat="1" applyBorder="1" applyAlignment="1" applyProtection="1">
      <alignment horizontal="left"/>
      <protection/>
    </xf>
    <xf numFmtId="206" fontId="5" fillId="0" borderId="4" xfId="15" applyNumberFormat="1" applyFont="1" applyFill="1" applyBorder="1" applyAlignment="1" applyProtection="1">
      <alignment horizontal="right"/>
      <protection locked="0"/>
    </xf>
    <xf numFmtId="206" fontId="5" fillId="0" borderId="45" xfId="15" applyNumberFormat="1" applyFont="1" applyFill="1" applyBorder="1" applyAlignment="1" applyProtection="1">
      <alignment horizontal="right"/>
      <protection locked="0"/>
    </xf>
    <xf numFmtId="3" fontId="0" fillId="0" borderId="26" xfId="0" applyNumberFormat="1" applyBorder="1" applyAlignment="1" applyProtection="1">
      <alignment horizontal="left"/>
      <protection/>
    </xf>
    <xf numFmtId="206" fontId="5" fillId="0" borderId="0" xfId="15" applyNumberFormat="1" applyFont="1" applyFill="1" applyBorder="1" applyAlignment="1" applyProtection="1">
      <alignment horizontal="right"/>
      <protection locked="0"/>
    </xf>
    <xf numFmtId="206" fontId="5" fillId="0" borderId="46" xfId="15" applyNumberFormat="1" applyFont="1" applyFill="1" applyBorder="1" applyAlignment="1" applyProtection="1">
      <alignment horizontal="right"/>
      <protection locked="0"/>
    </xf>
    <xf numFmtId="206" fontId="0" fillId="0" borderId="0" xfId="15" applyNumberFormat="1" applyFont="1" applyFill="1" applyBorder="1" applyAlignment="1" applyProtection="1">
      <alignment horizontal="right"/>
      <protection locked="0"/>
    </xf>
    <xf numFmtId="206" fontId="0" fillId="0" borderId="46" xfId="15" applyNumberFormat="1" applyFont="1" applyFill="1" applyBorder="1" applyAlignment="1" applyProtection="1">
      <alignment horizontal="right"/>
      <protection locked="0"/>
    </xf>
    <xf numFmtId="206" fontId="5" fillId="0" borderId="0" xfId="15" applyNumberFormat="1" applyFont="1" applyFill="1" applyBorder="1" applyAlignment="1" applyProtection="1">
      <alignment/>
      <protection locked="0"/>
    </xf>
    <xf numFmtId="206" fontId="5" fillId="0" borderId="46" xfId="15" applyNumberFormat="1" applyFont="1" applyFill="1" applyBorder="1" applyAlignment="1" applyProtection="1">
      <alignment/>
      <protection locked="0"/>
    </xf>
    <xf numFmtId="206" fontId="0" fillId="0" borderId="0" xfId="15" applyNumberFormat="1" applyFont="1" applyFill="1" applyBorder="1" applyAlignment="1" applyProtection="1">
      <alignment/>
      <protection locked="0"/>
    </xf>
    <xf numFmtId="198" fontId="0" fillId="2" borderId="7" xfId="0" applyNumberFormat="1" applyFill="1" applyBorder="1" applyAlignment="1">
      <alignment/>
    </xf>
    <xf numFmtId="3" fontId="0" fillId="2" borderId="47" xfId="0" applyNumberFormat="1" applyFill="1" applyBorder="1" applyAlignment="1" applyProtection="1">
      <alignment horizontal="center"/>
      <protection/>
    </xf>
    <xf numFmtId="0" fontId="0" fillId="2" borderId="26" xfId="0" applyFill="1" applyBorder="1" applyAlignment="1" applyProtection="1">
      <alignment/>
      <protection/>
    </xf>
    <xf numFmtId="0" fontId="0" fillId="2" borderId="47" xfId="0" applyFill="1" applyBorder="1" applyAlignment="1" applyProtection="1">
      <alignment/>
      <protection/>
    </xf>
    <xf numFmtId="3" fontId="0" fillId="2" borderId="26" xfId="0" applyNumberFormat="1" applyFill="1" applyBorder="1" applyAlignment="1" applyProtection="1">
      <alignment horizontal="center"/>
      <protection locked="0"/>
    </xf>
    <xf numFmtId="206" fontId="5" fillId="0" borderId="48" xfId="15" applyNumberFormat="1" applyFont="1" applyBorder="1" applyAlignment="1" applyProtection="1">
      <alignment horizontal="right"/>
      <protection locked="0"/>
    </xf>
    <xf numFmtId="206" fontId="1" fillId="0" borderId="43" xfId="15" applyNumberFormat="1" applyFont="1" applyBorder="1" applyAlignment="1" applyProtection="1">
      <alignment/>
      <protection/>
    </xf>
    <xf numFmtId="206" fontId="5" fillId="0" borderId="48" xfId="15" applyNumberFormat="1" applyFont="1" applyBorder="1" applyAlignment="1" applyProtection="1">
      <alignment horizontal="right"/>
      <protection locked="0"/>
    </xf>
    <xf numFmtId="206" fontId="0" fillId="0" borderId="48" xfId="15" applyNumberFormat="1" applyFont="1" applyBorder="1" applyAlignment="1" applyProtection="1">
      <alignment horizontal="right"/>
      <protection locked="0"/>
    </xf>
    <xf numFmtId="206" fontId="5" fillId="0" borderId="48" xfId="15" applyNumberFormat="1" applyFont="1" applyFill="1" applyBorder="1" applyAlignment="1" applyProtection="1">
      <alignment horizontal="right"/>
      <protection locked="0"/>
    </xf>
    <xf numFmtId="206" fontId="60" fillId="0" borderId="43" xfId="15" applyNumberFormat="1" applyFont="1" applyBorder="1" applyAlignment="1" applyProtection="1">
      <alignment/>
      <protection/>
    </xf>
    <xf numFmtId="206" fontId="0" fillId="0" borderId="48" xfId="15" applyNumberFormat="1" applyFont="1" applyBorder="1" applyAlignment="1" applyProtection="1">
      <alignment horizontal="right"/>
      <protection locked="0"/>
    </xf>
    <xf numFmtId="206" fontId="1" fillId="0" borderId="43" xfId="15" applyNumberFormat="1" applyFont="1" applyBorder="1" applyAlignment="1" applyProtection="1">
      <alignment horizontal="right"/>
      <protection/>
    </xf>
    <xf numFmtId="206" fontId="5" fillId="0" borderId="48" xfId="15" applyNumberFormat="1" applyFont="1" applyBorder="1" applyAlignment="1" applyProtection="1">
      <alignment/>
      <protection locked="0"/>
    </xf>
    <xf numFmtId="206" fontId="1" fillId="0" borderId="43" xfId="15" applyNumberFormat="1" applyFont="1" applyBorder="1" applyAlignment="1">
      <alignment/>
    </xf>
    <xf numFmtId="206" fontId="0" fillId="0" borderId="48" xfId="15" applyNumberFormat="1" applyFont="1" applyBorder="1" applyAlignment="1" applyProtection="1">
      <alignment horizontal="right"/>
      <protection locked="0"/>
    </xf>
    <xf numFmtId="206" fontId="1" fillId="0" borderId="43" xfId="15" applyNumberFormat="1" applyFont="1" applyBorder="1" applyAlignment="1" applyProtection="1">
      <alignment horizontal="right"/>
      <protection/>
    </xf>
    <xf numFmtId="206" fontId="0" fillId="0" borderId="8" xfId="15" applyNumberFormat="1" applyFont="1" applyBorder="1" applyAlignment="1" applyProtection="1">
      <alignment horizontal="right"/>
      <protection locked="0"/>
    </xf>
    <xf numFmtId="206" fontId="0" fillId="0" borderId="0" xfId="15" applyNumberFormat="1" applyFont="1" applyAlignment="1" applyProtection="1">
      <alignment horizontal="right"/>
      <protection locked="0"/>
    </xf>
    <xf numFmtId="206" fontId="0" fillId="0" borderId="48" xfId="15" applyNumberFormat="1" applyFont="1" applyFill="1" applyBorder="1" applyAlignment="1" applyProtection="1">
      <alignment horizontal="right"/>
      <protection locked="0"/>
    </xf>
    <xf numFmtId="206" fontId="0" fillId="0" borderId="48" xfId="15" applyNumberFormat="1" applyFont="1" applyBorder="1" applyAlignment="1" applyProtection="1">
      <alignment/>
      <protection locked="0"/>
    </xf>
    <xf numFmtId="198" fontId="0" fillId="2" borderId="0" xfId="0" applyNumberFormat="1" applyFill="1" applyBorder="1" applyAlignment="1">
      <alignment/>
    </xf>
    <xf numFmtId="206" fontId="0" fillId="0" borderId="22" xfId="15" applyNumberFormat="1" applyFill="1" applyBorder="1" applyAlignment="1" applyProtection="1">
      <alignment/>
      <protection/>
    </xf>
    <xf numFmtId="206" fontId="0" fillId="0" borderId="10" xfId="15" applyNumberFormat="1" applyFill="1" applyBorder="1" applyAlignment="1" applyProtection="1">
      <alignment/>
      <protection/>
    </xf>
    <xf numFmtId="198" fontId="0" fillId="2" borderId="10" xfId="0" applyNumberFormat="1" applyFill="1" applyBorder="1" applyAlignment="1">
      <alignment/>
    </xf>
    <xf numFmtId="198" fontId="5" fillId="0" borderId="0" xfId="0" applyNumberFormat="1" applyFont="1" applyBorder="1" applyAlignment="1">
      <alignment horizontal="right"/>
    </xf>
    <xf numFmtId="198" fontId="0" fillId="0" borderId="0" xfId="0" applyNumberFormat="1" applyBorder="1" applyAlignment="1">
      <alignment/>
    </xf>
    <xf numFmtId="0" fontId="21" fillId="4" borderId="0" xfId="0" applyFont="1" applyFill="1" applyBorder="1" applyAlignment="1" applyProtection="1">
      <alignment horizontal="centerContinuous"/>
      <protection locked="0"/>
    </xf>
    <xf numFmtId="0" fontId="0" fillId="0" borderId="30" xfId="0" applyBorder="1" applyAlignment="1">
      <alignment/>
    </xf>
    <xf numFmtId="0" fontId="0" fillId="0" borderId="29" xfId="0" applyBorder="1" applyAlignment="1">
      <alignment horizontal="center"/>
    </xf>
    <xf numFmtId="0" fontId="0" fillId="0" borderId="30" xfId="0" applyBorder="1" applyAlignment="1">
      <alignment horizontal="center"/>
    </xf>
    <xf numFmtId="3" fontId="13" fillId="2" borderId="14" xfId="0" applyNumberFormat="1" applyFont="1" applyFill="1" applyBorder="1" applyAlignment="1" applyProtection="1" quotePrefix="1">
      <alignment horizontal="left" vertical="center" wrapText="1"/>
      <protection/>
    </xf>
    <xf numFmtId="3" fontId="13" fillId="2" borderId="49" xfId="0" applyNumberFormat="1" applyFont="1" applyFill="1" applyBorder="1" applyAlignment="1" applyProtection="1">
      <alignment vertical="center" wrapText="1"/>
      <protection/>
    </xf>
    <xf numFmtId="0" fontId="7" fillId="2" borderId="0" xfId="20" applyNumberFormat="1" applyFont="1" applyFill="1" applyBorder="1" applyAlignment="1" applyProtection="1" quotePrefix="1">
      <alignment horizontal="center" wrapText="1"/>
      <protection/>
    </xf>
    <xf numFmtId="0" fontId="0" fillId="0" borderId="33" xfId="0" applyFont="1" applyFill="1" applyBorder="1" applyAlignment="1" applyProtection="1">
      <alignment horizontal="center"/>
      <protection/>
    </xf>
    <xf numFmtId="0" fontId="0" fillId="0" borderId="29" xfId="0" applyFont="1" applyBorder="1" applyAlignment="1">
      <alignment/>
    </xf>
    <xf numFmtId="0" fontId="0" fillId="0" borderId="30" xfId="0" applyFont="1" applyBorder="1" applyAlignment="1">
      <alignment/>
    </xf>
    <xf numFmtId="0" fontId="0" fillId="0" borderId="29" xfId="0" applyBorder="1" applyAlignment="1">
      <alignment/>
    </xf>
    <xf numFmtId="0" fontId="0" fillId="0" borderId="30" xfId="0" applyFill="1" applyBorder="1" applyAlignment="1" applyProtection="1">
      <alignment horizontal="center"/>
      <protection/>
    </xf>
    <xf numFmtId="0" fontId="0" fillId="0" borderId="33" xfId="0" applyFill="1" applyBorder="1" applyAlignment="1" applyProtection="1">
      <alignment horizontal="center"/>
      <protection/>
    </xf>
    <xf numFmtId="0" fontId="0" fillId="0" borderId="29" xfId="0" applyFill="1" applyBorder="1" applyAlignment="1" applyProtection="1">
      <alignment horizontal="center"/>
      <protection/>
    </xf>
    <xf numFmtId="0" fontId="17" fillId="0" borderId="0" xfId="0" applyFont="1" applyFill="1" applyBorder="1" applyAlignment="1">
      <alignment wrapText="1"/>
    </xf>
    <xf numFmtId="0" fontId="0" fillId="0" borderId="0" xfId="0" applyFill="1" applyBorder="1" applyAlignment="1">
      <alignment wrapText="1"/>
    </xf>
    <xf numFmtId="49" fontId="6" fillId="4" borderId="7" xfId="0" applyNumberFormat="1" applyFont="1" applyFill="1" applyBorder="1" applyAlignment="1">
      <alignment horizontal="center"/>
    </xf>
    <xf numFmtId="49" fontId="6" fillId="4" borderId="0" xfId="0" applyNumberFormat="1" applyFont="1" applyFill="1" applyBorder="1" applyAlignment="1">
      <alignment horizontal="center"/>
    </xf>
    <xf numFmtId="49" fontId="6" fillId="4" borderId="6" xfId="0" applyNumberFormat="1" applyFont="1" applyFill="1" applyBorder="1" applyAlignment="1">
      <alignment horizontal="center"/>
    </xf>
    <xf numFmtId="0" fontId="7" fillId="4" borderId="7" xfId="0" applyFont="1" applyFill="1" applyBorder="1" applyAlignment="1">
      <alignment horizontal="center"/>
    </xf>
    <xf numFmtId="0" fontId="7" fillId="4" borderId="0" xfId="0" applyFont="1" applyFill="1" applyBorder="1" applyAlignment="1">
      <alignment horizontal="center"/>
    </xf>
    <xf numFmtId="0" fontId="7" fillId="4" borderId="6" xfId="0" applyFont="1" applyFill="1" applyBorder="1" applyAlignment="1">
      <alignment horizontal="center"/>
    </xf>
    <xf numFmtId="0" fontId="7" fillId="7" borderId="0" xfId="0" applyFont="1" applyFill="1" applyBorder="1" applyAlignment="1">
      <alignment vertical="top" wrapText="1"/>
    </xf>
    <xf numFmtId="0" fontId="17" fillId="0" borderId="0" xfId="0" applyFont="1" applyBorder="1" applyAlignment="1">
      <alignment vertical="top" wrapText="1"/>
    </xf>
    <xf numFmtId="0" fontId="0" fillId="0" borderId="0" xfId="0" applyAlignment="1">
      <alignment vertical="top" wrapText="1"/>
    </xf>
    <xf numFmtId="0" fontId="17" fillId="3" borderId="0" xfId="0" applyFont="1" applyFill="1" applyBorder="1" applyAlignment="1">
      <alignment wrapText="1"/>
    </xf>
    <xf numFmtId="0" fontId="17" fillId="3" borderId="0" xfId="0" applyFont="1" applyFill="1" applyBorder="1" applyAlignment="1">
      <alignment horizontal="left" wrapText="1"/>
    </xf>
    <xf numFmtId="0" fontId="0" fillId="3" borderId="0" xfId="0" applyFill="1" applyBorder="1" applyAlignment="1">
      <alignment wrapText="1"/>
    </xf>
    <xf numFmtId="0" fontId="7" fillId="3" borderId="0" xfId="0" applyFont="1" applyFill="1" applyBorder="1" applyAlignment="1">
      <alignment wrapText="1"/>
    </xf>
    <xf numFmtId="0" fontId="7" fillId="4" borderId="7" xfId="0" applyFont="1" applyFill="1" applyBorder="1" applyAlignment="1" applyProtection="1">
      <alignment horizontal="center"/>
      <protection locked="0"/>
    </xf>
    <xf numFmtId="0" fontId="17" fillId="0" borderId="0" xfId="0" applyFont="1" applyBorder="1" applyAlignment="1">
      <alignment horizontal="center"/>
    </xf>
    <xf numFmtId="0" fontId="17" fillId="0" borderId="6" xfId="0" applyFont="1" applyBorder="1" applyAlignment="1">
      <alignment horizontal="center"/>
    </xf>
    <xf numFmtId="0" fontId="19" fillId="3" borderId="0" xfId="0" applyFont="1" applyFill="1" applyBorder="1" applyAlignment="1" quotePrefix="1">
      <alignment horizontal="left" wrapText="1" indent="1"/>
    </xf>
    <xf numFmtId="0" fontId="19" fillId="3" borderId="0" xfId="0" applyFont="1" applyFill="1" applyBorder="1" applyAlignment="1">
      <alignment horizontal="left" wrapText="1" indent="1"/>
    </xf>
    <xf numFmtId="0" fontId="0" fillId="3" borderId="0" xfId="0" applyFill="1" applyBorder="1" applyAlignment="1">
      <alignment horizontal="left" wrapText="1" indent="1"/>
    </xf>
    <xf numFmtId="0" fontId="0" fillId="2" borderId="4" xfId="0" applyFill="1" applyBorder="1" applyAlignment="1" applyProtection="1" quotePrefix="1">
      <alignment horizontal="center" wrapText="1"/>
      <protection/>
    </xf>
    <xf numFmtId="0" fontId="0" fillId="2" borderId="4" xfId="0" applyFill="1" applyBorder="1" applyAlignment="1" applyProtection="1">
      <alignment wrapText="1"/>
      <protection/>
    </xf>
    <xf numFmtId="0" fontId="7" fillId="2" borderId="50" xfId="20" applyNumberFormat="1" applyFont="1" applyFill="1" applyBorder="1" applyAlignment="1" applyProtection="1" quotePrefix="1">
      <alignment horizontal="center" wrapText="1"/>
      <protection/>
    </xf>
    <xf numFmtId="0" fontId="0" fillId="2" borderId="0" xfId="0" applyFill="1" applyBorder="1" applyAlignment="1" applyProtection="1" quotePrefix="1">
      <alignment horizontal="center"/>
      <protection/>
    </xf>
    <xf numFmtId="0" fontId="16" fillId="13" borderId="3" xfId="0" applyFont="1" applyFill="1" applyBorder="1" applyAlignment="1" applyProtection="1">
      <alignment horizontal="center" vertical="center"/>
      <protection/>
    </xf>
    <xf numFmtId="0" fontId="16" fillId="13" borderId="4" xfId="0" applyFont="1" applyFill="1" applyBorder="1" applyAlignment="1" applyProtection="1">
      <alignment horizontal="center" vertical="center"/>
      <protection/>
    </xf>
    <xf numFmtId="0" fontId="16" fillId="13" borderId="5" xfId="0" applyFont="1" applyFill="1" applyBorder="1" applyAlignment="1" applyProtection="1">
      <alignment horizontal="center" vertical="center"/>
      <protection/>
    </xf>
    <xf numFmtId="0" fontId="16" fillId="13" borderId="7" xfId="0" applyFont="1" applyFill="1" applyBorder="1" applyAlignment="1" applyProtection="1">
      <alignment horizontal="center" vertical="center"/>
      <protection/>
    </xf>
    <xf numFmtId="0" fontId="16" fillId="13" borderId="0" xfId="0" applyFont="1" applyFill="1" applyBorder="1" applyAlignment="1" applyProtection="1">
      <alignment horizontal="center" vertical="center"/>
      <protection/>
    </xf>
    <xf numFmtId="0" fontId="16" fillId="13" borderId="6" xfId="0" applyFont="1" applyFill="1" applyBorder="1" applyAlignment="1" applyProtection="1">
      <alignment horizontal="center" vertical="center"/>
      <protection/>
    </xf>
    <xf numFmtId="0" fontId="16" fillId="13" borderId="1" xfId="0" applyFont="1" applyFill="1" applyBorder="1" applyAlignment="1" applyProtection="1">
      <alignment horizontal="center" vertical="center"/>
      <protection/>
    </xf>
    <xf numFmtId="0" fontId="16" fillId="13" borderId="2" xfId="0" applyFont="1" applyFill="1" applyBorder="1" applyAlignment="1" applyProtection="1">
      <alignment horizontal="center" vertical="center"/>
      <protection/>
    </xf>
    <xf numFmtId="0" fontId="16" fillId="13" borderId="11" xfId="0" applyFont="1" applyFill="1" applyBorder="1" applyAlignment="1" applyProtection="1">
      <alignment horizontal="center" vertical="center"/>
      <protection/>
    </xf>
    <xf numFmtId="198" fontId="13" fillId="2" borderId="14" xfId="0" applyNumberFormat="1" applyFont="1" applyFill="1" applyBorder="1" applyAlignment="1" applyProtection="1">
      <alignment vertical="center"/>
      <protection/>
    </xf>
    <xf numFmtId="0" fontId="13" fillId="0" borderId="20" xfId="0" applyFont="1" applyBorder="1" applyAlignment="1" applyProtection="1">
      <alignment vertical="center"/>
      <protection/>
    </xf>
    <xf numFmtId="0" fontId="13" fillId="0" borderId="49" xfId="0" applyFont="1" applyBorder="1" applyAlignment="1" applyProtection="1">
      <alignment vertical="center"/>
      <protection/>
    </xf>
    <xf numFmtId="3" fontId="13" fillId="2" borderId="14" xfId="0" applyNumberFormat="1" applyFont="1" applyFill="1" applyBorder="1" applyAlignment="1" applyProtection="1">
      <alignment vertical="center" wrapText="1"/>
      <protection/>
    </xf>
    <xf numFmtId="3" fontId="13" fillId="2" borderId="20" xfId="0" applyNumberFormat="1" applyFont="1" applyFill="1" applyBorder="1" applyAlignment="1" applyProtection="1">
      <alignment vertical="center" wrapText="1"/>
      <protection/>
    </xf>
    <xf numFmtId="49" fontId="17" fillId="3" borderId="14" xfId="0" applyNumberFormat="1" applyFont="1" applyFill="1" applyBorder="1" applyAlignment="1" applyProtection="1">
      <alignment horizontal="left"/>
      <protection locked="0"/>
    </xf>
    <xf numFmtId="49" fontId="0" fillId="0" borderId="20" xfId="0" applyNumberFormat="1" applyFont="1" applyBorder="1" applyAlignment="1" applyProtection="1">
      <alignment/>
      <protection locked="0"/>
    </xf>
    <xf numFmtId="0" fontId="0" fillId="0" borderId="20" xfId="0" applyBorder="1" applyAlignment="1" applyProtection="1">
      <alignment/>
      <protection locked="0"/>
    </xf>
    <xf numFmtId="0" fontId="0" fillId="0" borderId="49" xfId="0" applyBorder="1" applyAlignment="1" applyProtection="1">
      <alignment/>
      <protection locked="0"/>
    </xf>
    <xf numFmtId="0" fontId="32" fillId="3" borderId="14" xfId="0" applyNumberFormat="1" applyFont="1" applyFill="1" applyBorder="1" applyAlignment="1" applyProtection="1">
      <alignment horizontal="left"/>
      <protection locked="0"/>
    </xf>
    <xf numFmtId="0" fontId="32" fillId="0" borderId="20" xfId="0" applyFont="1" applyBorder="1" applyAlignment="1" applyProtection="1">
      <alignment/>
      <protection locked="0"/>
    </xf>
    <xf numFmtId="0" fontId="53" fillId="0" borderId="0" xfId="0" applyFont="1" applyBorder="1" applyAlignment="1" applyProtection="1">
      <alignment horizontal="center" wrapText="1"/>
      <protection/>
    </xf>
    <xf numFmtId="198" fontId="12" fillId="2" borderId="14" xfId="0" applyNumberFormat="1" applyFont="1" applyFill="1" applyBorder="1" applyAlignment="1" applyProtection="1">
      <alignment vertical="center"/>
      <protection/>
    </xf>
    <xf numFmtId="3" fontId="13" fillId="2" borderId="0" xfId="0" applyNumberFormat="1" applyFont="1" applyFill="1" applyBorder="1" applyAlignment="1" applyProtection="1">
      <alignment vertical="center" wrapText="1"/>
      <protection/>
    </xf>
    <xf numFmtId="0" fontId="10" fillId="4" borderId="7" xfId="0" applyFont="1" applyFill="1" applyBorder="1" applyAlignment="1" applyProtection="1" quotePrefix="1">
      <alignment horizontal="center"/>
      <protection/>
    </xf>
    <xf numFmtId="0" fontId="10" fillId="4" borderId="0" xfId="0" applyFont="1" applyFill="1" applyBorder="1" applyAlignment="1" applyProtection="1" quotePrefix="1">
      <alignment horizontal="center"/>
      <protection/>
    </xf>
    <xf numFmtId="0" fontId="10" fillId="4" borderId="6" xfId="0" applyFont="1" applyFill="1" applyBorder="1" applyAlignment="1" applyProtection="1" quotePrefix="1">
      <alignment horizontal="center"/>
      <protection/>
    </xf>
    <xf numFmtId="0" fontId="17" fillId="2" borderId="1" xfId="0" applyFont="1" applyFill="1" applyBorder="1" applyAlignment="1" applyProtection="1" quotePrefix="1">
      <alignment horizontal="center" wrapText="1"/>
      <protection/>
    </xf>
    <xf numFmtId="0" fontId="0" fillId="0" borderId="2" xfId="0" applyFont="1" applyBorder="1" applyAlignment="1">
      <alignment horizontal="center" wrapText="1"/>
    </xf>
    <xf numFmtId="0" fontId="11" fillId="4" borderId="0" xfId="0" applyFont="1" applyFill="1" applyBorder="1" applyAlignment="1" applyProtection="1">
      <alignment horizontal="center"/>
      <protection/>
    </xf>
    <xf numFmtId="0" fontId="11" fillId="4" borderId="6" xfId="0" applyFont="1" applyFill="1" applyBorder="1" applyAlignment="1" applyProtection="1">
      <alignment horizontal="center"/>
      <protection/>
    </xf>
    <xf numFmtId="0" fontId="7" fillId="4" borderId="0" xfId="0" applyFont="1" applyFill="1" applyBorder="1" applyAlignment="1" applyProtection="1">
      <alignment horizontal="center"/>
      <protection/>
    </xf>
    <xf numFmtId="0" fontId="7" fillId="4" borderId="6" xfId="0" applyFont="1" applyFill="1" applyBorder="1" applyAlignment="1" applyProtection="1">
      <alignment horizontal="center"/>
      <protection/>
    </xf>
    <xf numFmtId="0" fontId="7" fillId="3" borderId="14" xfId="0" applyFont="1" applyFill="1" applyBorder="1" applyAlignment="1" applyProtection="1">
      <alignment horizontal="left" vertical="center" wrapText="1"/>
      <protection/>
    </xf>
    <xf numFmtId="0" fontId="0" fillId="0" borderId="20" xfId="0" applyBorder="1" applyAlignment="1" applyProtection="1">
      <alignment wrapText="1"/>
      <protection/>
    </xf>
    <xf numFmtId="0" fontId="0" fillId="0" borderId="49" xfId="0" applyBorder="1" applyAlignment="1" applyProtection="1">
      <alignment wrapText="1"/>
      <protection/>
    </xf>
    <xf numFmtId="0" fontId="17" fillId="0" borderId="14" xfId="0" applyNumberFormat="1" applyFont="1" applyFill="1" applyBorder="1" applyAlignment="1" applyProtection="1">
      <alignment horizontal="left"/>
      <protection locked="0"/>
    </xf>
    <xf numFmtId="0" fontId="0" fillId="0" borderId="20" xfId="0" applyFont="1" applyFill="1" applyBorder="1" applyAlignment="1" applyProtection="1">
      <alignment/>
      <protection locked="0"/>
    </xf>
    <xf numFmtId="0" fontId="0" fillId="0" borderId="20" xfId="0" applyFill="1" applyBorder="1" applyAlignment="1" applyProtection="1">
      <alignment/>
      <protection locked="0"/>
    </xf>
    <xf numFmtId="0" fontId="0" fillId="0" borderId="49" xfId="0" applyFill="1" applyBorder="1" applyAlignment="1" applyProtection="1">
      <alignment/>
      <protection locked="0"/>
    </xf>
    <xf numFmtId="0" fontId="17" fillId="3" borderId="14" xfId="0" applyNumberFormat="1" applyFont="1" applyFill="1" applyBorder="1" applyAlignment="1" applyProtection="1">
      <alignment horizontal="left"/>
      <protection locked="0"/>
    </xf>
    <xf numFmtId="0" fontId="0" fillId="0" borderId="20" xfId="0" applyFont="1" applyBorder="1" applyAlignment="1" applyProtection="1">
      <alignment/>
      <protection locked="0"/>
    </xf>
    <xf numFmtId="0" fontId="13" fillId="0" borderId="49" xfId="0" applyFont="1" applyBorder="1" applyAlignment="1" applyProtection="1">
      <alignment vertical="center" wrapText="1"/>
      <protection/>
    </xf>
    <xf numFmtId="0" fontId="13" fillId="2" borderId="20" xfId="0" applyFont="1" applyFill="1" applyBorder="1" applyAlignment="1" applyProtection="1">
      <alignment vertical="center" wrapText="1"/>
      <protection/>
    </xf>
    <xf numFmtId="0" fontId="0" fillId="0" borderId="33" xfId="0" applyBorder="1" applyAlignment="1" applyProtection="1">
      <alignment horizontal="center"/>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0" fontId="58" fillId="2" borderId="0" xfId="0" applyFont="1" applyFill="1" applyBorder="1" applyAlignment="1" applyProtection="1" quotePrefix="1">
      <alignment horizontal="center" wrapText="1"/>
      <protection/>
    </xf>
    <xf numFmtId="0" fontId="59" fillId="2" borderId="0" xfId="0" applyFont="1" applyFill="1" applyAlignment="1">
      <alignment wrapText="1"/>
    </xf>
    <xf numFmtId="0" fontId="15" fillId="2" borderId="0" xfId="0" applyFont="1" applyFill="1" applyBorder="1" applyAlignment="1" applyProtection="1">
      <alignment vertical="top" wrapText="1"/>
      <protection/>
    </xf>
    <xf numFmtId="0" fontId="15" fillId="2" borderId="0" xfId="0" applyFont="1" applyFill="1" applyBorder="1" applyAlignment="1" applyProtection="1">
      <alignment/>
      <protection/>
    </xf>
    <xf numFmtId="0" fontId="15" fillId="0" borderId="0" xfId="0" applyFont="1" applyAlignment="1">
      <alignment vertical="top" wrapText="1"/>
    </xf>
    <xf numFmtId="0" fontId="17" fillId="2" borderId="0" xfId="0" applyFont="1" applyFill="1" applyBorder="1" applyAlignment="1" applyProtection="1">
      <alignment vertical="top" wrapText="1"/>
      <protection/>
    </xf>
    <xf numFmtId="0" fontId="0" fillId="0" borderId="7" xfId="0" applyBorder="1" applyAlignment="1" applyProtection="1">
      <alignment vertical="top" wrapText="1"/>
      <protection locked="0"/>
    </xf>
    <xf numFmtId="0" fontId="0" fillId="0" borderId="0" xfId="0" applyAlignment="1" applyProtection="1">
      <alignment vertical="top" wrapText="1"/>
      <protection locked="0"/>
    </xf>
    <xf numFmtId="0" fontId="0" fillId="0" borderId="6"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1" xfId="0" applyBorder="1" applyAlignment="1" applyProtection="1">
      <alignment vertical="top" wrapText="1"/>
      <protection locked="0"/>
    </xf>
    <xf numFmtId="0" fontId="29" fillId="3" borderId="3" xfId="0" applyFont="1" applyFill="1" applyBorder="1" applyAlignment="1" applyProtection="1">
      <alignment wrapText="1"/>
      <protection/>
    </xf>
    <xf numFmtId="0" fontId="0" fillId="0" borderId="4" xfId="0" applyBorder="1" applyAlignment="1">
      <alignment wrapText="1"/>
    </xf>
    <xf numFmtId="0" fontId="0" fillId="0" borderId="5" xfId="0" applyBorder="1" applyAlignment="1">
      <alignment wrapText="1"/>
    </xf>
    <xf numFmtId="0" fontId="29" fillId="3" borderId="7" xfId="0" applyFont="1" applyFill="1" applyBorder="1" applyAlignment="1" applyProtection="1">
      <alignment wrapText="1"/>
      <protection/>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0" xfId="0" applyAlignment="1">
      <alignment wrapText="1"/>
    </xf>
    <xf numFmtId="0" fontId="17" fillId="2" borderId="14" xfId="0" applyFont="1" applyFill="1" applyBorder="1" applyAlignment="1" applyProtection="1" quotePrefix="1">
      <alignment horizontal="left" vertical="top" wrapText="1"/>
      <protection/>
    </xf>
    <xf numFmtId="0" fontId="0" fillId="0" borderId="49" xfId="0" applyBorder="1" applyAlignment="1" applyProtection="1">
      <alignment vertical="top" wrapText="1"/>
      <protection locked="0"/>
    </xf>
    <xf numFmtId="0" fontId="0" fillId="0" borderId="14" xfId="0" applyFill="1" applyBorder="1" applyAlignment="1" applyProtection="1">
      <alignment horizontal="right"/>
      <protection locked="0"/>
    </xf>
    <xf numFmtId="0" fontId="0" fillId="0" borderId="49" xfId="0" applyFill="1" applyBorder="1" applyAlignment="1" applyProtection="1">
      <alignment horizontal="right"/>
      <protection locked="0"/>
    </xf>
    <xf numFmtId="0" fontId="13" fillId="2" borderId="0" xfId="0" applyFont="1" applyFill="1" applyBorder="1" applyAlignment="1" applyProtection="1">
      <alignment vertical="top" wrapText="1"/>
      <protection/>
    </xf>
    <xf numFmtId="0" fontId="0" fillId="0" borderId="0" xfId="0" applyBorder="1" applyAlignment="1">
      <alignment vertical="top" wrapText="1"/>
    </xf>
    <xf numFmtId="0" fontId="29" fillId="3" borderId="3" xfId="0" applyFont="1" applyFill="1" applyBorder="1" applyAlignment="1" applyProtection="1">
      <alignment vertical="top" wrapText="1"/>
      <protection/>
    </xf>
    <xf numFmtId="0" fontId="34" fillId="3" borderId="4" xfId="0" applyFont="1" applyFill="1" applyBorder="1" applyAlignment="1">
      <alignment vertical="top" wrapText="1"/>
    </xf>
    <xf numFmtId="0" fontId="34" fillId="3" borderId="5" xfId="0" applyFont="1" applyFill="1" applyBorder="1" applyAlignment="1">
      <alignment vertical="top" wrapText="1"/>
    </xf>
    <xf numFmtId="0" fontId="34" fillId="3" borderId="7" xfId="0" applyFont="1" applyFill="1" applyBorder="1" applyAlignment="1">
      <alignment vertical="top" wrapText="1"/>
    </xf>
    <xf numFmtId="0" fontId="34" fillId="3" borderId="0" xfId="0" applyFont="1" applyFill="1" applyBorder="1" applyAlignment="1">
      <alignment vertical="top" wrapText="1"/>
    </xf>
    <xf numFmtId="0" fontId="34" fillId="3" borderId="6" xfId="0" applyFont="1" applyFill="1" applyBorder="1" applyAlignment="1">
      <alignment vertical="top" wrapText="1"/>
    </xf>
    <xf numFmtId="0" fontId="12" fillId="4" borderId="2" xfId="0" applyFont="1" applyFill="1" applyBorder="1" applyAlignment="1" applyProtection="1">
      <alignment horizontal="center" vertical="center"/>
      <protection/>
    </xf>
    <xf numFmtId="0" fontId="7" fillId="2" borderId="0" xfId="0" applyFont="1" applyFill="1" applyBorder="1" applyAlignment="1" applyProtection="1">
      <alignment vertical="top" wrapText="1"/>
      <protection/>
    </xf>
    <xf numFmtId="0" fontId="7" fillId="2" borderId="0" xfId="0" applyFont="1" applyFill="1" applyBorder="1" applyAlignment="1" applyProtection="1">
      <alignment horizontal="left" wrapText="1"/>
      <protection/>
    </xf>
    <xf numFmtId="0" fontId="0" fillId="0" borderId="0" xfId="0" applyAlignment="1">
      <alignment horizontal="left" wrapText="1"/>
    </xf>
    <xf numFmtId="0" fontId="0" fillId="0" borderId="3" xfId="0" applyFill="1" applyBorder="1" applyAlignment="1" applyProtection="1">
      <alignment horizontal="right"/>
      <protection locked="0"/>
    </xf>
    <xf numFmtId="0" fontId="0" fillId="0" borderId="5" xfId="0" applyFill="1" applyBorder="1" applyAlignment="1" applyProtection="1">
      <alignment horizontal="right"/>
      <protection locked="0"/>
    </xf>
    <xf numFmtId="3" fontId="0" fillId="0" borderId="51" xfId="0" applyNumberFormat="1" applyFill="1" applyBorder="1" applyAlignment="1" applyProtection="1">
      <alignment horizontal="right"/>
      <protection/>
    </xf>
    <xf numFmtId="0" fontId="0" fillId="0" borderId="52" xfId="0" applyFill="1" applyBorder="1" applyAlignment="1">
      <alignment horizontal="right"/>
    </xf>
    <xf numFmtId="3" fontId="0" fillId="0" borderId="51" xfId="0" applyNumberFormat="1" applyFill="1" applyBorder="1" applyAlignment="1" applyProtection="1">
      <alignment horizontal="right"/>
      <protection locked="0"/>
    </xf>
    <xf numFmtId="0" fontId="0" fillId="0" borderId="52" xfId="0" applyFill="1" applyBorder="1" applyAlignment="1" applyProtection="1">
      <alignment horizontal="right"/>
      <protection locked="0"/>
    </xf>
    <xf numFmtId="0" fontId="7" fillId="2" borderId="0" xfId="0" applyFont="1" applyFill="1" applyBorder="1" applyAlignment="1" applyProtection="1">
      <alignment horizontal="left" vertical="top" wrapText="1"/>
      <protection/>
    </xf>
    <xf numFmtId="0" fontId="17" fillId="0" borderId="0" xfId="0" applyFont="1" applyAlignment="1">
      <alignment vertical="top" wrapText="1"/>
    </xf>
    <xf numFmtId="0" fontId="0" fillId="3" borderId="7" xfId="0" applyFill="1" applyBorder="1" applyAlignment="1" applyProtection="1">
      <alignment vertical="top" wrapText="1"/>
      <protection locked="0"/>
    </xf>
    <xf numFmtId="0" fontId="12" fillId="2"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12" fillId="4" borderId="7" xfId="0" applyFont="1" applyFill="1" applyBorder="1" applyAlignment="1" applyProtection="1">
      <alignment horizontal="center" vertical="center" wrapText="1"/>
      <protection/>
    </xf>
    <xf numFmtId="0" fontId="12" fillId="4" borderId="0" xfId="0" applyFont="1" applyFill="1" applyBorder="1" applyAlignment="1" applyProtection="1">
      <alignment horizontal="center" vertical="center" wrapText="1"/>
      <protection/>
    </xf>
    <xf numFmtId="0" fontId="12" fillId="4" borderId="6" xfId="0" applyFont="1" applyFill="1" applyBorder="1" applyAlignment="1" applyProtection="1">
      <alignment horizontal="center" vertical="center" wrapText="1"/>
      <protection/>
    </xf>
    <xf numFmtId="49" fontId="7" fillId="3" borderId="33" xfId="0" applyNumberFormat="1" applyFont="1" applyFill="1" applyBorder="1" applyAlignment="1" applyProtection="1">
      <alignment/>
      <protection/>
    </xf>
    <xf numFmtId="0" fontId="0" fillId="0" borderId="30" xfId="0" applyBorder="1" applyAlignment="1" applyProtection="1">
      <alignment/>
      <protection/>
    </xf>
    <xf numFmtId="0" fontId="7" fillId="6" borderId="0" xfId="0" applyFont="1" applyFill="1" applyBorder="1" applyAlignment="1" applyProtection="1">
      <alignment vertical="top" wrapText="1"/>
      <protection/>
    </xf>
    <xf numFmtId="0" fontId="17" fillId="6" borderId="0" xfId="0" applyFont="1" applyFill="1" applyBorder="1" applyAlignment="1">
      <alignment vertical="top" wrapText="1"/>
    </xf>
    <xf numFmtId="0" fontId="17" fillId="2" borderId="0" xfId="0" applyFont="1" applyFill="1" applyBorder="1" applyAlignment="1" applyProtection="1">
      <alignment wrapText="1"/>
      <protection/>
    </xf>
    <xf numFmtId="0" fontId="0" fillId="2" borderId="0" xfId="0" applyFont="1" applyFill="1" applyBorder="1" applyAlignment="1" applyProtection="1">
      <alignment vertical="top" wrapText="1"/>
      <protection/>
    </xf>
    <xf numFmtId="0" fontId="17" fillId="2" borderId="0" xfId="0" applyFont="1" applyFill="1" applyBorder="1" applyAlignment="1" applyProtection="1">
      <alignment horizontal="left" vertical="top" wrapText="1"/>
      <protection/>
    </xf>
    <xf numFmtId="0" fontId="0" fillId="0" borderId="0" xfId="0" applyAlignment="1">
      <alignment horizontal="left" vertical="top" wrapText="1"/>
    </xf>
    <xf numFmtId="0" fontId="15" fillId="2" borderId="0" xfId="0" applyFont="1" applyFill="1" applyBorder="1" applyAlignment="1" applyProtection="1">
      <alignment vertical="top" wrapText="1"/>
      <protection/>
    </xf>
    <xf numFmtId="0" fontId="1" fillId="2" borderId="2" xfId="0" applyFont="1" applyFill="1" applyBorder="1" applyAlignment="1" applyProtection="1">
      <alignment horizontal="center"/>
      <protection/>
    </xf>
    <xf numFmtId="0" fontId="0" fillId="10" borderId="33" xfId="0" applyFill="1" applyBorder="1" applyAlignment="1" applyProtection="1">
      <alignment horizontal="center"/>
      <protection/>
    </xf>
    <xf numFmtId="0" fontId="0" fillId="10" borderId="29" xfId="0" applyFill="1" applyBorder="1" applyAlignment="1" applyProtection="1">
      <alignment horizontal="center"/>
      <protection/>
    </xf>
    <xf numFmtId="0" fontId="0" fillId="10" borderId="30" xfId="0" applyFill="1" applyBorder="1" applyAlignment="1" applyProtection="1">
      <alignment horizontal="center"/>
      <protection/>
    </xf>
    <xf numFmtId="0" fontId="17" fillId="2" borderId="0" xfId="0" applyFont="1" applyFill="1" applyBorder="1" applyAlignment="1" applyProtection="1">
      <alignment vertical="top" wrapText="1"/>
      <protection/>
    </xf>
    <xf numFmtId="0" fontId="0" fillId="2" borderId="0" xfId="0" applyFill="1" applyBorder="1" applyAlignment="1" applyProtection="1">
      <alignment vertical="top" wrapText="1"/>
      <protection/>
    </xf>
    <xf numFmtId="0" fontId="0" fillId="0" borderId="32" xfId="0" applyFill="1" applyBorder="1" applyAlignment="1" applyProtection="1">
      <alignment horizontal="right" vertical="center"/>
      <protection/>
    </xf>
    <xf numFmtId="0" fontId="0" fillId="0" borderId="32" xfId="0" applyBorder="1" applyAlignment="1">
      <alignment vertical="center"/>
    </xf>
    <xf numFmtId="0" fontId="0" fillId="0" borderId="3"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48" fillId="14" borderId="53" xfId="20" applyFont="1" applyFill="1" applyBorder="1" applyAlignment="1" applyProtection="1">
      <alignment horizontal="center" vertical="center" wrapText="1"/>
      <protection/>
    </xf>
    <xf numFmtId="0" fontId="17" fillId="14" borderId="53" xfId="0" applyFont="1" applyFill="1" applyBorder="1" applyAlignment="1" applyProtection="1">
      <alignment horizontal="center" vertical="center" wrapText="1"/>
      <protection/>
    </xf>
    <xf numFmtId="0" fontId="48" fillId="14" borderId="4" xfId="20" applyFont="1" applyFill="1" applyBorder="1" applyAlignment="1" applyProtection="1">
      <alignment horizontal="center" vertical="center" wrapText="1"/>
      <protection/>
    </xf>
    <xf numFmtId="0" fontId="17" fillId="14" borderId="4" xfId="0" applyFont="1" applyFill="1" applyBorder="1" applyAlignment="1" applyProtection="1">
      <alignment horizontal="center" vertical="center" wrapText="1"/>
      <protection/>
    </xf>
    <xf numFmtId="0" fontId="12" fillId="4" borderId="7" xfId="0" applyFont="1" applyFill="1" applyBorder="1" applyAlignment="1" applyProtection="1">
      <alignment vertical="center" wrapText="1"/>
      <protection/>
    </xf>
    <xf numFmtId="0" fontId="0" fillId="4" borderId="0"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12" fillId="4" borderId="7" xfId="0" applyFont="1" applyFill="1" applyBorder="1" applyAlignment="1" applyProtection="1">
      <alignment vertical="center"/>
      <protection/>
    </xf>
    <xf numFmtId="0" fontId="12" fillId="4" borderId="0" xfId="0" applyFont="1" applyFill="1" applyBorder="1" applyAlignment="1" applyProtection="1">
      <alignment vertical="center"/>
      <protection/>
    </xf>
    <xf numFmtId="0" fontId="49" fillId="5" borderId="4" xfId="0" applyFont="1" applyFill="1" applyBorder="1" applyAlignment="1" applyProtection="1">
      <alignment horizontal="center" vertical="top" textRotation="255" wrapText="1"/>
      <protection/>
    </xf>
    <xf numFmtId="0" fontId="0" fillId="0" borderId="0" xfId="0" applyAlignment="1">
      <alignment horizontal="center" vertical="top" textRotation="255" wrapText="1"/>
    </xf>
    <xf numFmtId="0" fontId="0" fillId="0" borderId="31" xfId="0" applyBorder="1" applyAlignment="1">
      <alignment horizontal="center" vertical="top" textRotation="255" wrapText="1"/>
    </xf>
    <xf numFmtId="0" fontId="49" fillId="9" borderId="32" xfId="0" applyFont="1" applyFill="1" applyBorder="1" applyAlignment="1" applyProtection="1">
      <alignment vertical="top" textRotation="255" wrapText="1"/>
      <protection/>
    </xf>
    <xf numFmtId="0" fontId="30" fillId="9" borderId="0" xfId="0" applyFont="1" applyFill="1" applyAlignment="1" applyProtection="1">
      <alignment vertical="top" textRotation="255" wrapText="1"/>
      <protection/>
    </xf>
    <xf numFmtId="0" fontId="0" fillId="0" borderId="31" xfId="0" applyBorder="1" applyAlignment="1">
      <alignment vertical="top" wrapText="1"/>
    </xf>
    <xf numFmtId="0" fontId="14" fillId="0" borderId="0" xfId="0" applyFont="1" applyBorder="1" applyAlignment="1" applyProtection="1" quotePrefix="1">
      <alignment horizontal="left" vertical="center" wrapText="1"/>
      <protection/>
    </xf>
    <xf numFmtId="0" fontId="0" fillId="0" borderId="0" xfId="0" applyBorder="1" applyAlignment="1">
      <alignment vertical="center" wrapText="1"/>
    </xf>
    <xf numFmtId="0" fontId="0" fillId="0" borderId="31" xfId="0" applyBorder="1" applyAlignment="1">
      <alignment vertical="center" wrapText="1"/>
    </xf>
    <xf numFmtId="0" fontId="49" fillId="9" borderId="32" xfId="0" applyFont="1" applyFill="1" applyBorder="1" applyAlignment="1" applyProtection="1">
      <alignment horizontal="center" vertical="top" textRotation="255" wrapText="1"/>
      <protection/>
    </xf>
    <xf numFmtId="0" fontId="30" fillId="9" borderId="31" xfId="0" applyFont="1" applyFill="1" applyBorder="1" applyAlignment="1" applyProtection="1">
      <alignment vertical="top" textRotation="255" wrapText="1"/>
      <protection/>
    </xf>
    <xf numFmtId="0" fontId="49" fillId="5" borderId="32" xfId="0" applyFont="1" applyFill="1" applyBorder="1" applyAlignment="1" applyProtection="1">
      <alignment horizontal="center" vertical="top" textRotation="255" wrapText="1"/>
      <protection/>
    </xf>
    <xf numFmtId="0" fontId="49" fillId="5" borderId="0" xfId="0" applyFont="1" applyFill="1" applyBorder="1" applyAlignment="1" applyProtection="1">
      <alignment horizontal="center" vertical="top" textRotation="255" wrapText="1"/>
      <protection/>
    </xf>
    <xf numFmtId="0" fontId="0" fillId="0" borderId="0" xfId="0" applyBorder="1" applyAlignment="1">
      <alignment horizontal="center" vertical="top" textRotation="255" wrapText="1"/>
    </xf>
    <xf numFmtId="0" fontId="49" fillId="11" borderId="32" xfId="0" applyFont="1" applyFill="1" applyBorder="1" applyAlignment="1" applyProtection="1" quotePrefix="1">
      <alignment horizontal="center" vertical="top" textRotation="255" wrapText="1"/>
      <protection/>
    </xf>
    <xf numFmtId="0" fontId="30" fillId="11" borderId="0" xfId="0" applyFont="1" applyFill="1" applyBorder="1" applyAlignment="1">
      <alignment vertical="top" textRotation="255" wrapText="1"/>
    </xf>
    <xf numFmtId="0" fontId="0" fillId="0" borderId="31" xfId="0" applyBorder="1" applyAlignment="1">
      <alignment wrapText="1"/>
    </xf>
    <xf numFmtId="0" fontId="49" fillId="11" borderId="32" xfId="0" applyFont="1" applyFill="1" applyBorder="1" applyAlignment="1" applyProtection="1">
      <alignment vertical="top" textRotation="255" wrapText="1"/>
      <protection/>
    </xf>
    <xf numFmtId="0" fontId="0" fillId="0" borderId="0" xfId="0" applyAlignment="1">
      <alignment/>
    </xf>
    <xf numFmtId="0" fontId="0" fillId="0" borderId="31" xfId="0" applyBorder="1" applyAlignment="1">
      <alignment/>
    </xf>
    <xf numFmtId="0" fontId="49" fillId="9" borderId="32" xfId="0" applyFont="1" applyFill="1" applyBorder="1" applyAlignment="1" applyProtection="1" quotePrefix="1">
      <alignment horizontal="center" vertical="top" textRotation="255" wrapText="1"/>
      <protection/>
    </xf>
    <xf numFmtId="0" fontId="0" fillId="0" borderId="0" xfId="0" applyBorder="1" applyAlignment="1">
      <alignment vertical="top" textRotation="255" wrapText="1"/>
    </xf>
    <xf numFmtId="0" fontId="0" fillId="0" borderId="31" xfId="0" applyBorder="1" applyAlignment="1">
      <alignment vertical="top" textRotation="255" wrapText="1"/>
    </xf>
    <xf numFmtId="0" fontId="30" fillId="9" borderId="0" xfId="0" applyFont="1" applyFill="1" applyBorder="1" applyAlignment="1">
      <alignment vertical="top" textRotation="255" wrapText="1"/>
    </xf>
    <xf numFmtId="0" fontId="30" fillId="9" borderId="31" xfId="0" applyFont="1" applyFill="1" applyBorder="1" applyAlignment="1">
      <alignment wrapText="1"/>
    </xf>
    <xf numFmtId="0" fontId="0" fillId="0" borderId="32" xfId="0" applyBorder="1" applyAlignment="1">
      <alignment/>
    </xf>
    <xf numFmtId="0" fontId="0" fillId="0" borderId="3" xfId="0" applyFill="1" applyBorder="1" applyAlignment="1" applyProtection="1">
      <alignment horizontal="left" vertical="top" wrapText="1"/>
      <protection/>
    </xf>
    <xf numFmtId="0" fontId="0" fillId="0" borderId="5" xfId="0" applyFill="1" applyBorder="1" applyAlignment="1" applyProtection="1">
      <alignment horizontal="left" vertical="top" wrapText="1"/>
      <protection/>
    </xf>
    <xf numFmtId="0" fontId="0" fillId="0" borderId="7" xfId="0" applyFill="1" applyBorder="1" applyAlignment="1" applyProtection="1">
      <alignment horizontal="left" vertical="top" wrapText="1"/>
      <protection/>
    </xf>
    <xf numFmtId="0" fontId="0" fillId="0" borderId="6" xfId="0" applyFill="1" applyBorder="1" applyAlignment="1" applyProtection="1">
      <alignment horizontal="left" vertical="top" wrapText="1"/>
      <protection/>
    </xf>
    <xf numFmtId="0" fontId="0" fillId="0" borderId="1" xfId="0" applyFill="1" applyBorder="1" applyAlignment="1" applyProtection="1">
      <alignment horizontal="left" vertical="top" wrapText="1"/>
      <protection/>
    </xf>
    <xf numFmtId="0" fontId="0" fillId="0" borderId="11" xfId="0" applyFill="1" applyBorder="1" applyAlignment="1" applyProtection="1">
      <alignment horizontal="left" vertical="top" wrapText="1"/>
      <protection/>
    </xf>
    <xf numFmtId="0" fontId="37" fillId="4" borderId="54" xfId="0" applyFont="1" applyFill="1" applyBorder="1" applyAlignment="1">
      <alignment horizontal="center"/>
    </xf>
    <xf numFmtId="0" fontId="37" fillId="4" borderId="42" xfId="0" applyFont="1" applyFill="1" applyBorder="1" applyAlignment="1">
      <alignment horizontal="center"/>
    </xf>
    <xf numFmtId="0" fontId="37" fillId="4" borderId="55" xfId="0" applyFont="1" applyFill="1" applyBorder="1" applyAlignment="1">
      <alignment horizontal="center"/>
    </xf>
    <xf numFmtId="0" fontId="1" fillId="4" borderId="0" xfId="0" applyFont="1" applyFill="1" applyAlignment="1">
      <alignment horizontal="center"/>
    </xf>
    <xf numFmtId="0" fontId="1" fillId="4" borderId="0" xfId="0" applyFont="1" applyFill="1" applyAlignment="1">
      <alignment horizontal="center" vertical="top" wrapText="1"/>
    </xf>
    <xf numFmtId="0" fontId="1" fillId="4" borderId="0" xfId="0" applyFont="1" applyFill="1" applyBorder="1" applyAlignment="1">
      <alignment horizontal="center"/>
    </xf>
    <xf numFmtId="0" fontId="1" fillId="4" borderId="0" xfId="0" applyFont="1" applyFill="1" applyBorder="1" applyAlignment="1">
      <alignment horizontal="center" vertical="top" wrapText="1"/>
    </xf>
    <xf numFmtId="0" fontId="1" fillId="4" borderId="7"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9">
    <dxf>
      <font>
        <b val="0"/>
        <i val="0"/>
        <u val="none"/>
        <color auto="1"/>
      </font>
      <border/>
    </dxf>
    <dxf>
      <fill>
        <patternFill>
          <bgColor rgb="FFFF0000"/>
        </patternFill>
      </fill>
      <border/>
    </dxf>
    <dxf>
      <fill>
        <patternFill>
          <bgColor rgb="FFFFFF00"/>
        </patternFill>
      </fill>
      <border/>
    </dxf>
    <dxf>
      <font>
        <b/>
        <i val="0"/>
        <u val="single"/>
        <color rgb="FFFFFFFF"/>
      </font>
      <fill>
        <patternFill>
          <bgColor rgb="FF000000"/>
        </patternFill>
      </fill>
      <border/>
    </dxf>
    <dxf>
      <font>
        <b val="0"/>
        <i val="0"/>
        <color rgb="FF000000"/>
      </font>
      <border/>
    </dxf>
    <dxf>
      <fill>
        <patternFill patternType="none">
          <bgColor indexed="65"/>
        </patternFill>
      </fill>
      <border/>
    </dxf>
    <dxf>
      <font>
        <b/>
        <i val="0"/>
        <color rgb="FFFFFFFF"/>
      </font>
      <fill>
        <patternFill>
          <bgColor rgb="FFFF0000"/>
        </patternFill>
      </fill>
      <border/>
    </dxf>
    <dxf>
      <fill>
        <patternFill>
          <bgColor rgb="FFFFFFFF"/>
        </patternFill>
      </fill>
      <border/>
    </dxf>
    <dxf>
      <font>
        <b/>
        <i val="0"/>
        <color rgb="FFFFFFC0"/>
      </font>
      <fill>
        <patternFill patternType="solid">
          <bgColor rgb="FFFFFFC0"/>
        </patternFill>
      </fill>
      <border>
        <left>
          <color rgb="FF000000"/>
        </left>
        <right>
          <color rgb="FF000000"/>
        </right>
        <top>
          <color rgb="FF000000"/>
        </top>
        <bottom>
          <color rgb="FF000000"/>
        </bottom>
      </border>
    </dxf>
    <dxf>
      <font>
        <b/>
        <i val="0"/>
        <color rgb="FFFF0000"/>
      </font>
      <fill>
        <patternFill>
          <bgColor rgb="FFFFFFC0"/>
        </patternFill>
      </fill>
      <border/>
    </dxf>
    <dxf>
      <font>
        <b/>
        <i val="0"/>
      </font>
      <border/>
    </dxf>
    <dxf>
      <font>
        <b/>
        <i val="0"/>
        <color auto="1"/>
      </font>
      <fill>
        <patternFill>
          <bgColor rgb="FFFFFFC0"/>
        </patternFill>
      </fill>
      <border/>
    </dxf>
    <dxf>
      <font>
        <b/>
        <i val="0"/>
        <color auto="1"/>
      </font>
      <fill>
        <patternFill>
          <bgColor rgb="FFFF0000"/>
        </patternFill>
      </fill>
      <border/>
    </dxf>
    <dxf>
      <font>
        <b/>
        <i val="0"/>
        <color rgb="FFFF0000"/>
      </font>
      <border/>
    </dxf>
    <dxf>
      <font>
        <color rgb="FFFFFFFF"/>
      </font>
      <fill>
        <patternFill>
          <bgColor rgb="FF008000"/>
        </patternFill>
      </fill>
      <border/>
    </dxf>
    <dxf>
      <fill>
        <patternFill>
          <bgColor rgb="FF969696"/>
        </patternFill>
      </fill>
      <border/>
    </dxf>
    <dxf>
      <fill>
        <patternFill>
          <bgColor rgb="FFCC9CCC"/>
        </patternFill>
      </fill>
      <border/>
    </dxf>
    <dxf>
      <font>
        <color rgb="FFFFFFFF"/>
      </font>
      <fill>
        <patternFill patternType="none">
          <bgColor indexed="65"/>
        </patternFill>
      </fill>
      <border/>
    </dxf>
    <dxf>
      <font>
        <b/>
        <i val="0"/>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9525</xdr:rowOff>
    </xdr:from>
    <xdr:to>
      <xdr:col>2</xdr:col>
      <xdr:colOff>1743075</xdr:colOff>
      <xdr:row>7</xdr:row>
      <xdr:rowOff>0</xdr:rowOff>
    </xdr:to>
    <xdr:pic>
      <xdr:nvPicPr>
        <xdr:cNvPr id="1" name="Picture 3"/>
        <xdr:cNvPicPr preferRelativeResize="1">
          <a:picLocks noChangeAspect="1"/>
        </xdr:cNvPicPr>
      </xdr:nvPicPr>
      <xdr:blipFill>
        <a:blip r:embed="rId1"/>
        <a:stretch>
          <a:fillRect/>
        </a:stretch>
      </xdr:blipFill>
      <xdr:spPr>
        <a:xfrm>
          <a:off x="466725" y="66675"/>
          <a:ext cx="22383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22</xdr:row>
      <xdr:rowOff>238125</xdr:rowOff>
    </xdr:from>
    <xdr:to>
      <xdr:col>2</xdr:col>
      <xdr:colOff>657225</xdr:colOff>
      <xdr:row>22</xdr:row>
      <xdr:rowOff>238125</xdr:rowOff>
    </xdr:to>
    <xdr:sp>
      <xdr:nvSpPr>
        <xdr:cNvPr id="1" name="Line 278"/>
        <xdr:cNvSpPr>
          <a:spLocks/>
        </xdr:cNvSpPr>
      </xdr:nvSpPr>
      <xdr:spPr>
        <a:xfrm>
          <a:off x="5029200" y="4552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152400</xdr:colOff>
      <xdr:row>1</xdr:row>
      <xdr:rowOff>9525</xdr:rowOff>
    </xdr:from>
    <xdr:to>
      <xdr:col>1</xdr:col>
      <xdr:colOff>2714625</xdr:colOff>
      <xdr:row>6</xdr:row>
      <xdr:rowOff>76200</xdr:rowOff>
    </xdr:to>
    <xdr:pic>
      <xdr:nvPicPr>
        <xdr:cNvPr id="2" name="Picture 279"/>
        <xdr:cNvPicPr preferRelativeResize="1">
          <a:picLocks noChangeAspect="1"/>
        </xdr:cNvPicPr>
      </xdr:nvPicPr>
      <xdr:blipFill>
        <a:blip r:embed="rId1"/>
        <a:stretch>
          <a:fillRect/>
        </a:stretch>
      </xdr:blipFill>
      <xdr:spPr>
        <a:xfrm>
          <a:off x="152400" y="66675"/>
          <a:ext cx="2743200" cy="118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0</xdr:rowOff>
    </xdr:from>
    <xdr:to>
      <xdr:col>2</xdr:col>
      <xdr:colOff>1628775</xdr:colOff>
      <xdr:row>7</xdr:row>
      <xdr:rowOff>66675</xdr:rowOff>
    </xdr:to>
    <xdr:pic>
      <xdr:nvPicPr>
        <xdr:cNvPr id="1" name="Picture 13"/>
        <xdr:cNvPicPr preferRelativeResize="1">
          <a:picLocks noChangeAspect="1"/>
        </xdr:cNvPicPr>
      </xdr:nvPicPr>
      <xdr:blipFill>
        <a:blip r:embed="rId1"/>
        <a:stretch>
          <a:fillRect/>
        </a:stretch>
      </xdr:blipFill>
      <xdr:spPr>
        <a:xfrm>
          <a:off x="76200" y="57150"/>
          <a:ext cx="275272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CTB1%20Supplementary%20form%20200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B1 (S)"/>
      <sheetName val="DATA"/>
    </sheetNames>
    <sheetDataSet>
      <sheetData sheetId="1">
        <row r="8">
          <cell r="A8">
            <v>1</v>
          </cell>
          <cell r="B8" t="str">
            <v>Adur</v>
          </cell>
          <cell r="C8" t="str">
            <v>E3831</v>
          </cell>
        </row>
        <row r="9">
          <cell r="A9">
            <v>2</v>
          </cell>
          <cell r="B9" t="str">
            <v>Allerdale</v>
          </cell>
          <cell r="C9" t="str">
            <v>E0931</v>
          </cell>
        </row>
        <row r="10">
          <cell r="A10">
            <v>3</v>
          </cell>
          <cell r="B10" t="str">
            <v>Alnwick</v>
          </cell>
          <cell r="C10" t="str">
            <v>E2931</v>
          </cell>
        </row>
        <row r="11">
          <cell r="A11">
            <v>4</v>
          </cell>
          <cell r="B11" t="str">
            <v>Amber Valley</v>
          </cell>
          <cell r="C11" t="str">
            <v>E1031</v>
          </cell>
        </row>
        <row r="12">
          <cell r="A12">
            <v>5</v>
          </cell>
          <cell r="B12" t="str">
            <v>Arun</v>
          </cell>
          <cell r="C12" t="str">
            <v>E3832</v>
          </cell>
        </row>
        <row r="13">
          <cell r="A13">
            <v>6</v>
          </cell>
          <cell r="B13" t="str">
            <v>Ashfield</v>
          </cell>
          <cell r="C13" t="str">
            <v>E3031</v>
          </cell>
        </row>
        <row r="14">
          <cell r="A14">
            <v>7</v>
          </cell>
          <cell r="B14" t="str">
            <v>Ashford</v>
          </cell>
          <cell r="C14" t="str">
            <v>E2231</v>
          </cell>
        </row>
        <row r="15">
          <cell r="A15">
            <v>8</v>
          </cell>
          <cell r="B15" t="str">
            <v>Aylesbury Vale</v>
          </cell>
          <cell r="C15" t="str">
            <v>E0431</v>
          </cell>
        </row>
        <row r="16">
          <cell r="A16">
            <v>9</v>
          </cell>
          <cell r="B16" t="str">
            <v>Babergh</v>
          </cell>
          <cell r="C16" t="str">
            <v>E3531</v>
          </cell>
        </row>
        <row r="17">
          <cell r="A17">
            <v>10</v>
          </cell>
          <cell r="B17" t="str">
            <v>Barking and Dagenham</v>
          </cell>
          <cell r="C17" t="str">
            <v>E5030</v>
          </cell>
        </row>
        <row r="18">
          <cell r="A18">
            <v>11</v>
          </cell>
          <cell r="B18" t="str">
            <v>Barnet</v>
          </cell>
          <cell r="C18" t="str">
            <v>E5031</v>
          </cell>
        </row>
        <row r="19">
          <cell r="A19">
            <v>12</v>
          </cell>
          <cell r="B19" t="str">
            <v>Barnsley</v>
          </cell>
          <cell r="C19" t="str">
            <v>E4401</v>
          </cell>
        </row>
        <row r="20">
          <cell r="A20">
            <v>13</v>
          </cell>
          <cell r="B20" t="str">
            <v>Barrow-in-Furness</v>
          </cell>
          <cell r="C20" t="str">
            <v>E0932</v>
          </cell>
        </row>
        <row r="21">
          <cell r="A21">
            <v>14</v>
          </cell>
          <cell r="B21" t="str">
            <v>Basildon</v>
          </cell>
          <cell r="C21" t="str">
            <v>E1531</v>
          </cell>
        </row>
        <row r="22">
          <cell r="A22">
            <v>15</v>
          </cell>
          <cell r="B22" t="str">
            <v>Basingstoke &amp; Deane</v>
          </cell>
          <cell r="C22" t="str">
            <v>E1731</v>
          </cell>
        </row>
        <row r="23">
          <cell r="A23">
            <v>16</v>
          </cell>
          <cell r="B23" t="str">
            <v>Bassetlaw</v>
          </cell>
          <cell r="C23" t="str">
            <v>E3032</v>
          </cell>
        </row>
        <row r="24">
          <cell r="A24">
            <v>17</v>
          </cell>
          <cell r="B24" t="str">
            <v>Bath &amp; North East Somerset</v>
          </cell>
          <cell r="C24" t="str">
            <v>E0101</v>
          </cell>
        </row>
        <row r="25">
          <cell r="A25">
            <v>18</v>
          </cell>
          <cell r="B25" t="str">
            <v>Bedford</v>
          </cell>
          <cell r="C25" t="str">
            <v>E0231</v>
          </cell>
        </row>
        <row r="26">
          <cell r="A26">
            <v>19</v>
          </cell>
          <cell r="B26" t="str">
            <v>Berwick-upon-Tweed</v>
          </cell>
          <cell r="C26" t="str">
            <v>E2932</v>
          </cell>
        </row>
        <row r="27">
          <cell r="A27">
            <v>20</v>
          </cell>
          <cell r="B27" t="str">
            <v>Bexley</v>
          </cell>
          <cell r="C27" t="str">
            <v>E5032</v>
          </cell>
        </row>
        <row r="28">
          <cell r="A28">
            <v>21</v>
          </cell>
          <cell r="B28" t="str">
            <v>Birmingham</v>
          </cell>
          <cell r="C28" t="str">
            <v>E4601</v>
          </cell>
        </row>
        <row r="29">
          <cell r="A29">
            <v>22</v>
          </cell>
          <cell r="B29" t="str">
            <v>Blaby</v>
          </cell>
          <cell r="C29" t="str">
            <v>E2431</v>
          </cell>
        </row>
        <row r="30">
          <cell r="A30">
            <v>23</v>
          </cell>
          <cell r="B30" t="str">
            <v>Blackburn with Darwen</v>
          </cell>
          <cell r="C30" t="str">
            <v>E2301</v>
          </cell>
        </row>
        <row r="31">
          <cell r="A31">
            <v>24</v>
          </cell>
          <cell r="B31" t="str">
            <v>Blackpool</v>
          </cell>
          <cell r="C31" t="str">
            <v>E2302</v>
          </cell>
        </row>
        <row r="32">
          <cell r="A32">
            <v>25</v>
          </cell>
          <cell r="B32" t="str">
            <v>Blyth Valley</v>
          </cell>
          <cell r="C32" t="str">
            <v>E2933</v>
          </cell>
        </row>
        <row r="33">
          <cell r="A33">
            <v>26</v>
          </cell>
          <cell r="B33" t="str">
            <v>Bolsover</v>
          </cell>
          <cell r="C33" t="str">
            <v>E1032</v>
          </cell>
        </row>
        <row r="34">
          <cell r="A34">
            <v>27</v>
          </cell>
          <cell r="B34" t="str">
            <v>Bolton</v>
          </cell>
          <cell r="C34" t="str">
            <v>E4201</v>
          </cell>
        </row>
        <row r="35">
          <cell r="A35">
            <v>28</v>
          </cell>
          <cell r="B35" t="str">
            <v>Boston</v>
          </cell>
          <cell r="C35" t="str">
            <v>E2531</v>
          </cell>
        </row>
        <row r="36">
          <cell r="A36">
            <v>29</v>
          </cell>
          <cell r="B36" t="str">
            <v>Bournemouth</v>
          </cell>
          <cell r="C36" t="str">
            <v>E1202</v>
          </cell>
        </row>
        <row r="37">
          <cell r="A37">
            <v>30</v>
          </cell>
          <cell r="B37" t="str">
            <v>Bracknell Forest</v>
          </cell>
          <cell r="C37" t="str">
            <v>E0301</v>
          </cell>
        </row>
        <row r="38">
          <cell r="A38">
            <v>31</v>
          </cell>
          <cell r="B38" t="str">
            <v>Bradford</v>
          </cell>
          <cell r="C38" t="str">
            <v>E4701</v>
          </cell>
        </row>
        <row r="39">
          <cell r="A39">
            <v>32</v>
          </cell>
          <cell r="B39" t="str">
            <v>Braintree</v>
          </cell>
          <cell r="C39" t="str">
            <v>E1532</v>
          </cell>
        </row>
        <row r="40">
          <cell r="A40">
            <v>33</v>
          </cell>
          <cell r="B40" t="str">
            <v>Breckland</v>
          </cell>
          <cell r="C40" t="str">
            <v>E2631</v>
          </cell>
        </row>
        <row r="41">
          <cell r="A41">
            <v>34</v>
          </cell>
          <cell r="B41" t="str">
            <v>Brent</v>
          </cell>
          <cell r="C41" t="str">
            <v>E5033</v>
          </cell>
        </row>
        <row r="42">
          <cell r="A42">
            <v>35</v>
          </cell>
          <cell r="B42" t="str">
            <v>Brentwood</v>
          </cell>
          <cell r="C42" t="str">
            <v>E1533</v>
          </cell>
        </row>
        <row r="43">
          <cell r="A43">
            <v>36</v>
          </cell>
          <cell r="B43" t="str">
            <v>Bridgnorth</v>
          </cell>
          <cell r="C43" t="str">
            <v>E3231</v>
          </cell>
        </row>
        <row r="44">
          <cell r="A44">
            <v>37</v>
          </cell>
          <cell r="B44" t="str">
            <v>Brighton &amp; Hove</v>
          </cell>
          <cell r="C44" t="str">
            <v>E1401</v>
          </cell>
        </row>
        <row r="45">
          <cell r="A45">
            <v>38</v>
          </cell>
          <cell r="B45" t="str">
            <v>Bristol</v>
          </cell>
          <cell r="C45" t="str">
            <v>E0102</v>
          </cell>
        </row>
        <row r="46">
          <cell r="A46">
            <v>39</v>
          </cell>
          <cell r="B46" t="str">
            <v>Broadland</v>
          </cell>
          <cell r="C46" t="str">
            <v>E2632</v>
          </cell>
        </row>
        <row r="47">
          <cell r="A47">
            <v>40</v>
          </cell>
          <cell r="B47" t="str">
            <v>Bromley</v>
          </cell>
          <cell r="C47" t="str">
            <v>E5034</v>
          </cell>
        </row>
        <row r="48">
          <cell r="A48">
            <v>41</v>
          </cell>
          <cell r="B48" t="str">
            <v>Bromsgrove</v>
          </cell>
          <cell r="C48" t="str">
            <v>E1831</v>
          </cell>
        </row>
        <row r="49">
          <cell r="A49">
            <v>42</v>
          </cell>
          <cell r="B49" t="str">
            <v>Broxbourne</v>
          </cell>
          <cell r="C49" t="str">
            <v>E1931</v>
          </cell>
        </row>
        <row r="50">
          <cell r="A50">
            <v>43</v>
          </cell>
          <cell r="B50" t="str">
            <v>Broxtowe</v>
          </cell>
          <cell r="C50" t="str">
            <v>E3033</v>
          </cell>
        </row>
        <row r="51">
          <cell r="A51">
            <v>44</v>
          </cell>
          <cell r="B51" t="str">
            <v>Burnley</v>
          </cell>
          <cell r="C51" t="str">
            <v>E2333</v>
          </cell>
        </row>
        <row r="52">
          <cell r="A52">
            <v>45</v>
          </cell>
          <cell r="B52" t="str">
            <v>Bury</v>
          </cell>
          <cell r="C52" t="str">
            <v>E4202</v>
          </cell>
        </row>
        <row r="53">
          <cell r="A53">
            <v>46</v>
          </cell>
          <cell r="B53" t="str">
            <v>Calderdale</v>
          </cell>
          <cell r="C53" t="str">
            <v>E4702</v>
          </cell>
        </row>
        <row r="54">
          <cell r="A54">
            <v>47</v>
          </cell>
          <cell r="B54" t="str">
            <v>Cambridge</v>
          </cell>
          <cell r="C54" t="str">
            <v>E0531</v>
          </cell>
        </row>
        <row r="55">
          <cell r="A55">
            <v>48</v>
          </cell>
          <cell r="B55" t="str">
            <v>Camden</v>
          </cell>
          <cell r="C55" t="str">
            <v>E5011</v>
          </cell>
        </row>
        <row r="56">
          <cell r="A56">
            <v>49</v>
          </cell>
          <cell r="B56" t="str">
            <v>Cannock Chase</v>
          </cell>
          <cell r="C56" t="str">
            <v>E3431</v>
          </cell>
        </row>
        <row r="57">
          <cell r="A57">
            <v>50</v>
          </cell>
          <cell r="B57" t="str">
            <v>Canterbury</v>
          </cell>
          <cell r="C57" t="str">
            <v>E2232</v>
          </cell>
        </row>
        <row r="58">
          <cell r="A58">
            <v>51</v>
          </cell>
          <cell r="B58" t="str">
            <v>Caradon</v>
          </cell>
          <cell r="C58" t="str">
            <v>E0831</v>
          </cell>
        </row>
        <row r="59">
          <cell r="A59">
            <v>52</v>
          </cell>
          <cell r="B59" t="str">
            <v>Carlisle</v>
          </cell>
          <cell r="C59" t="str">
            <v>E0933</v>
          </cell>
        </row>
        <row r="60">
          <cell r="A60">
            <v>53</v>
          </cell>
          <cell r="B60" t="str">
            <v>Carrick</v>
          </cell>
          <cell r="C60" t="str">
            <v>E0832</v>
          </cell>
        </row>
        <row r="61">
          <cell r="A61">
            <v>54</v>
          </cell>
          <cell r="B61" t="str">
            <v>Castle Morpeth</v>
          </cell>
          <cell r="C61" t="str">
            <v>E2934</v>
          </cell>
        </row>
        <row r="62">
          <cell r="A62">
            <v>55</v>
          </cell>
          <cell r="B62" t="str">
            <v>Castle Point</v>
          </cell>
          <cell r="C62" t="str">
            <v>E1534</v>
          </cell>
        </row>
        <row r="63">
          <cell r="A63">
            <v>56</v>
          </cell>
          <cell r="B63" t="str">
            <v>Charnwood</v>
          </cell>
          <cell r="C63" t="str">
            <v>E2432</v>
          </cell>
        </row>
        <row r="64">
          <cell r="A64">
            <v>57</v>
          </cell>
          <cell r="B64" t="str">
            <v>Chelmsford</v>
          </cell>
          <cell r="C64" t="str">
            <v>E1535</v>
          </cell>
        </row>
        <row r="65">
          <cell r="A65">
            <v>58</v>
          </cell>
          <cell r="B65" t="str">
            <v>Cheltenham</v>
          </cell>
          <cell r="C65" t="str">
            <v>E1631</v>
          </cell>
        </row>
        <row r="66">
          <cell r="A66">
            <v>59</v>
          </cell>
          <cell r="B66" t="str">
            <v>Cherwell</v>
          </cell>
          <cell r="C66" t="str">
            <v>E3131</v>
          </cell>
        </row>
        <row r="67">
          <cell r="A67">
            <v>60</v>
          </cell>
          <cell r="B67" t="str">
            <v>Chester</v>
          </cell>
          <cell r="C67" t="str">
            <v>E0631</v>
          </cell>
        </row>
        <row r="68">
          <cell r="A68">
            <v>61</v>
          </cell>
          <cell r="B68" t="str">
            <v>Chesterfield</v>
          </cell>
          <cell r="C68" t="str">
            <v>E1033</v>
          </cell>
        </row>
        <row r="69">
          <cell r="A69">
            <v>62</v>
          </cell>
          <cell r="B69" t="str">
            <v>Chester-le-Street</v>
          </cell>
          <cell r="C69" t="str">
            <v>E1331</v>
          </cell>
        </row>
        <row r="70">
          <cell r="A70">
            <v>63</v>
          </cell>
          <cell r="B70" t="str">
            <v>Chichester</v>
          </cell>
          <cell r="C70" t="str">
            <v>E3833</v>
          </cell>
        </row>
        <row r="71">
          <cell r="A71">
            <v>64</v>
          </cell>
          <cell r="B71" t="str">
            <v>Chiltern</v>
          </cell>
          <cell r="C71" t="str">
            <v>E0432</v>
          </cell>
        </row>
        <row r="72">
          <cell r="A72">
            <v>65</v>
          </cell>
          <cell r="B72" t="str">
            <v>Chorley</v>
          </cell>
          <cell r="C72" t="str">
            <v>E2334</v>
          </cell>
        </row>
        <row r="73">
          <cell r="A73">
            <v>66</v>
          </cell>
          <cell r="B73" t="str">
            <v>Christchurch</v>
          </cell>
          <cell r="C73" t="str">
            <v>E1232</v>
          </cell>
        </row>
        <row r="74">
          <cell r="A74">
            <v>67</v>
          </cell>
          <cell r="B74" t="str">
            <v>City of London</v>
          </cell>
          <cell r="C74" t="str">
            <v>E5010</v>
          </cell>
        </row>
        <row r="75">
          <cell r="A75">
            <v>68</v>
          </cell>
          <cell r="B75" t="str">
            <v>Colchester</v>
          </cell>
          <cell r="C75" t="str">
            <v>E1536</v>
          </cell>
        </row>
        <row r="76">
          <cell r="A76">
            <v>69</v>
          </cell>
          <cell r="B76" t="str">
            <v>Congleton</v>
          </cell>
          <cell r="C76" t="str">
            <v>E0632</v>
          </cell>
        </row>
        <row r="77">
          <cell r="A77">
            <v>70</v>
          </cell>
          <cell r="B77" t="str">
            <v>Copeland</v>
          </cell>
          <cell r="C77" t="str">
            <v>E0934</v>
          </cell>
        </row>
        <row r="78">
          <cell r="A78">
            <v>71</v>
          </cell>
          <cell r="B78" t="str">
            <v>Corby</v>
          </cell>
          <cell r="C78" t="str">
            <v>E2831</v>
          </cell>
        </row>
        <row r="79">
          <cell r="A79">
            <v>72</v>
          </cell>
          <cell r="B79" t="str">
            <v>Cotswold</v>
          </cell>
          <cell r="C79" t="str">
            <v>E1632</v>
          </cell>
        </row>
        <row r="80">
          <cell r="A80">
            <v>73</v>
          </cell>
          <cell r="B80" t="str">
            <v>Coventry</v>
          </cell>
          <cell r="C80" t="str">
            <v>E4602</v>
          </cell>
        </row>
        <row r="81">
          <cell r="A81">
            <v>74</v>
          </cell>
          <cell r="B81" t="str">
            <v>Craven</v>
          </cell>
          <cell r="C81" t="str">
            <v>E2731</v>
          </cell>
        </row>
        <row r="82">
          <cell r="A82">
            <v>75</v>
          </cell>
          <cell r="B82" t="str">
            <v>Crawley</v>
          </cell>
          <cell r="C82" t="str">
            <v>E3834</v>
          </cell>
        </row>
        <row r="83">
          <cell r="A83">
            <v>76</v>
          </cell>
          <cell r="B83" t="str">
            <v>Crewe &amp; Nantwich</v>
          </cell>
          <cell r="C83" t="str">
            <v>E0633</v>
          </cell>
        </row>
        <row r="84">
          <cell r="A84">
            <v>77</v>
          </cell>
          <cell r="B84" t="str">
            <v>Croydon</v>
          </cell>
          <cell r="C84" t="str">
            <v>E5035</v>
          </cell>
        </row>
        <row r="85">
          <cell r="A85">
            <v>78</v>
          </cell>
          <cell r="B85" t="str">
            <v>Dacorum</v>
          </cell>
          <cell r="C85" t="str">
            <v>E1932</v>
          </cell>
        </row>
        <row r="86">
          <cell r="A86">
            <v>79</v>
          </cell>
          <cell r="B86" t="str">
            <v>Darlington</v>
          </cell>
          <cell r="C86" t="str">
            <v>E1301</v>
          </cell>
        </row>
        <row r="87">
          <cell r="A87">
            <v>80</v>
          </cell>
          <cell r="B87" t="str">
            <v>Dartford</v>
          </cell>
          <cell r="C87" t="str">
            <v>E2233</v>
          </cell>
        </row>
        <row r="88">
          <cell r="A88">
            <v>81</v>
          </cell>
          <cell r="B88" t="str">
            <v>Daventry</v>
          </cell>
          <cell r="C88" t="str">
            <v>E2832</v>
          </cell>
        </row>
        <row r="89">
          <cell r="A89">
            <v>82</v>
          </cell>
          <cell r="B89" t="str">
            <v>Derby</v>
          </cell>
          <cell r="C89" t="str">
            <v>E1001</v>
          </cell>
        </row>
        <row r="90">
          <cell r="A90">
            <v>83</v>
          </cell>
          <cell r="B90" t="str">
            <v>Derbyshire Dales</v>
          </cell>
          <cell r="C90" t="str">
            <v>E1035</v>
          </cell>
        </row>
        <row r="91">
          <cell r="A91">
            <v>84</v>
          </cell>
          <cell r="B91" t="str">
            <v>Derwentside</v>
          </cell>
          <cell r="C91" t="str">
            <v>E1333</v>
          </cell>
        </row>
        <row r="92">
          <cell r="A92">
            <v>85</v>
          </cell>
          <cell r="B92" t="str">
            <v>Doncaster</v>
          </cell>
          <cell r="C92" t="str">
            <v>E4402</v>
          </cell>
        </row>
        <row r="93">
          <cell r="A93">
            <v>86</v>
          </cell>
          <cell r="B93" t="str">
            <v>Dover</v>
          </cell>
          <cell r="C93" t="str">
            <v>E2234</v>
          </cell>
        </row>
        <row r="94">
          <cell r="A94">
            <v>87</v>
          </cell>
          <cell r="B94" t="str">
            <v>Dudley</v>
          </cell>
          <cell r="C94" t="str">
            <v>E4603</v>
          </cell>
        </row>
        <row r="95">
          <cell r="A95">
            <v>88</v>
          </cell>
          <cell r="B95" t="str">
            <v>Durham</v>
          </cell>
          <cell r="C95" t="str">
            <v>E1334</v>
          </cell>
        </row>
        <row r="96">
          <cell r="A96">
            <v>89</v>
          </cell>
          <cell r="B96" t="str">
            <v>Ealing</v>
          </cell>
          <cell r="C96" t="str">
            <v>E5036</v>
          </cell>
        </row>
        <row r="97">
          <cell r="A97">
            <v>90</v>
          </cell>
          <cell r="B97" t="str">
            <v>Easington</v>
          </cell>
          <cell r="C97" t="str">
            <v>E1335</v>
          </cell>
        </row>
        <row r="98">
          <cell r="A98">
            <v>91</v>
          </cell>
          <cell r="B98" t="str">
            <v>East Cambridgeshire</v>
          </cell>
          <cell r="C98" t="str">
            <v>E0532</v>
          </cell>
        </row>
        <row r="99">
          <cell r="A99">
            <v>92</v>
          </cell>
          <cell r="B99" t="str">
            <v>East Devon</v>
          </cell>
          <cell r="C99" t="str">
            <v>E1131</v>
          </cell>
        </row>
        <row r="100">
          <cell r="A100">
            <v>93</v>
          </cell>
          <cell r="B100" t="str">
            <v>East Dorset</v>
          </cell>
          <cell r="C100" t="str">
            <v>E1233</v>
          </cell>
        </row>
        <row r="101">
          <cell r="A101">
            <v>94</v>
          </cell>
          <cell r="B101" t="str">
            <v>East Hampshire</v>
          </cell>
          <cell r="C101" t="str">
            <v>E1732</v>
          </cell>
        </row>
        <row r="102">
          <cell r="A102">
            <v>95</v>
          </cell>
          <cell r="B102" t="str">
            <v>East Hertfordshire</v>
          </cell>
          <cell r="C102" t="str">
            <v>E1933</v>
          </cell>
        </row>
        <row r="103">
          <cell r="A103">
            <v>96</v>
          </cell>
          <cell r="B103" t="str">
            <v>East Lindsey</v>
          </cell>
          <cell r="C103" t="str">
            <v>E2532</v>
          </cell>
        </row>
        <row r="104">
          <cell r="A104">
            <v>97</v>
          </cell>
          <cell r="B104" t="str">
            <v>East Northamptonshire</v>
          </cell>
          <cell r="C104" t="str">
            <v>E2833</v>
          </cell>
        </row>
        <row r="105">
          <cell r="A105">
            <v>98</v>
          </cell>
          <cell r="B105" t="str">
            <v>East Riding of Yorkshire</v>
          </cell>
          <cell r="C105" t="str">
            <v>E2001</v>
          </cell>
        </row>
        <row r="106">
          <cell r="A106">
            <v>99</v>
          </cell>
          <cell r="B106" t="str">
            <v>East Staffordshire</v>
          </cell>
          <cell r="C106" t="str">
            <v>E3432</v>
          </cell>
        </row>
        <row r="107">
          <cell r="A107">
            <v>100</v>
          </cell>
          <cell r="B107" t="str">
            <v>Eastbourne</v>
          </cell>
          <cell r="C107" t="str">
            <v>E1432</v>
          </cell>
        </row>
        <row r="108">
          <cell r="A108">
            <v>101</v>
          </cell>
          <cell r="B108" t="str">
            <v>Eastleigh</v>
          </cell>
          <cell r="C108" t="str">
            <v>E1733</v>
          </cell>
        </row>
        <row r="109">
          <cell r="A109">
            <v>102</v>
          </cell>
          <cell r="B109" t="str">
            <v>Eden</v>
          </cell>
          <cell r="C109" t="str">
            <v>E0935</v>
          </cell>
        </row>
        <row r="110">
          <cell r="A110">
            <v>103</v>
          </cell>
          <cell r="B110" t="str">
            <v>Ellesmere Port &amp; Neston</v>
          </cell>
          <cell r="C110" t="str">
            <v>E0634</v>
          </cell>
        </row>
        <row r="111">
          <cell r="A111">
            <v>104</v>
          </cell>
          <cell r="B111" t="str">
            <v>Elmbridge</v>
          </cell>
          <cell r="C111" t="str">
            <v>E3631</v>
          </cell>
        </row>
        <row r="112">
          <cell r="A112">
            <v>105</v>
          </cell>
          <cell r="B112" t="str">
            <v>Enfield</v>
          </cell>
          <cell r="C112" t="str">
            <v>E5037</v>
          </cell>
        </row>
        <row r="113">
          <cell r="A113">
            <v>106</v>
          </cell>
          <cell r="B113" t="str">
            <v>Epping Forest</v>
          </cell>
          <cell r="C113" t="str">
            <v>E1537</v>
          </cell>
        </row>
        <row r="114">
          <cell r="A114">
            <v>107</v>
          </cell>
          <cell r="B114" t="str">
            <v>Epsom &amp; Ewell</v>
          </cell>
          <cell r="C114" t="str">
            <v>E3632</v>
          </cell>
        </row>
        <row r="115">
          <cell r="A115">
            <v>108</v>
          </cell>
          <cell r="B115" t="str">
            <v>Erewash</v>
          </cell>
          <cell r="C115" t="str">
            <v>E1036</v>
          </cell>
        </row>
        <row r="116">
          <cell r="A116">
            <v>109</v>
          </cell>
          <cell r="B116" t="str">
            <v>Exeter</v>
          </cell>
          <cell r="C116" t="str">
            <v>E1132</v>
          </cell>
        </row>
        <row r="117">
          <cell r="A117">
            <v>110</v>
          </cell>
          <cell r="B117" t="str">
            <v>Fareham</v>
          </cell>
          <cell r="C117" t="str">
            <v>E1734</v>
          </cell>
        </row>
        <row r="118">
          <cell r="A118">
            <v>111</v>
          </cell>
          <cell r="B118" t="str">
            <v>Fenland</v>
          </cell>
          <cell r="C118" t="str">
            <v>E0533</v>
          </cell>
        </row>
        <row r="119">
          <cell r="A119">
            <v>112</v>
          </cell>
          <cell r="B119" t="str">
            <v>Forest Heath</v>
          </cell>
          <cell r="C119" t="str">
            <v>E3532</v>
          </cell>
        </row>
        <row r="120">
          <cell r="A120">
            <v>113</v>
          </cell>
          <cell r="B120" t="str">
            <v>Forest of Dean</v>
          </cell>
          <cell r="C120" t="str">
            <v>E1633</v>
          </cell>
        </row>
        <row r="121">
          <cell r="A121">
            <v>114</v>
          </cell>
          <cell r="B121" t="str">
            <v>Fylde</v>
          </cell>
          <cell r="C121" t="str">
            <v>E2335</v>
          </cell>
        </row>
        <row r="122">
          <cell r="A122">
            <v>115</v>
          </cell>
          <cell r="B122" t="str">
            <v>Gateshead</v>
          </cell>
          <cell r="C122" t="str">
            <v>E4501</v>
          </cell>
        </row>
        <row r="123">
          <cell r="A123">
            <v>116</v>
          </cell>
          <cell r="B123" t="str">
            <v>Gedling</v>
          </cell>
          <cell r="C123" t="str">
            <v>E3034</v>
          </cell>
        </row>
        <row r="124">
          <cell r="A124">
            <v>117</v>
          </cell>
          <cell r="B124" t="str">
            <v>Gloucester</v>
          </cell>
          <cell r="C124" t="str">
            <v>E1634</v>
          </cell>
        </row>
        <row r="125">
          <cell r="A125">
            <v>118</v>
          </cell>
          <cell r="B125" t="str">
            <v>Gosport</v>
          </cell>
          <cell r="C125" t="str">
            <v>E1735</v>
          </cell>
        </row>
        <row r="126">
          <cell r="A126">
            <v>119</v>
          </cell>
          <cell r="B126" t="str">
            <v>Gravesham</v>
          </cell>
          <cell r="C126" t="str">
            <v>E2236</v>
          </cell>
        </row>
        <row r="127">
          <cell r="A127">
            <v>120</v>
          </cell>
          <cell r="B127" t="str">
            <v>Great Yarmouth</v>
          </cell>
          <cell r="C127" t="str">
            <v>E2633</v>
          </cell>
        </row>
        <row r="128">
          <cell r="A128">
            <v>121</v>
          </cell>
          <cell r="B128" t="str">
            <v>Greenwich</v>
          </cell>
          <cell r="C128" t="str">
            <v>E5012</v>
          </cell>
        </row>
        <row r="129">
          <cell r="A129">
            <v>122</v>
          </cell>
          <cell r="B129" t="str">
            <v>Guildford</v>
          </cell>
          <cell r="C129" t="str">
            <v>E3633</v>
          </cell>
        </row>
        <row r="130">
          <cell r="A130">
            <v>123</v>
          </cell>
          <cell r="B130" t="str">
            <v>Hackney</v>
          </cell>
          <cell r="C130" t="str">
            <v>E5013</v>
          </cell>
        </row>
        <row r="131">
          <cell r="A131">
            <v>124</v>
          </cell>
          <cell r="B131" t="str">
            <v>Halton</v>
          </cell>
          <cell r="C131" t="str">
            <v>E0601</v>
          </cell>
        </row>
        <row r="132">
          <cell r="A132">
            <v>125</v>
          </cell>
          <cell r="B132" t="str">
            <v>Hambleton</v>
          </cell>
          <cell r="C132" t="str">
            <v>E2732</v>
          </cell>
        </row>
        <row r="133">
          <cell r="A133">
            <v>126</v>
          </cell>
          <cell r="B133" t="str">
            <v>Hammersmith and Fulham</v>
          </cell>
          <cell r="C133" t="str">
            <v>E5014</v>
          </cell>
        </row>
        <row r="134">
          <cell r="A134">
            <v>127</v>
          </cell>
          <cell r="B134" t="str">
            <v>Harborough</v>
          </cell>
          <cell r="C134" t="str">
            <v>E2433</v>
          </cell>
        </row>
        <row r="135">
          <cell r="A135">
            <v>128</v>
          </cell>
          <cell r="B135" t="str">
            <v>Haringey</v>
          </cell>
          <cell r="C135" t="str">
            <v>E5038</v>
          </cell>
        </row>
        <row r="136">
          <cell r="A136">
            <v>129</v>
          </cell>
          <cell r="B136" t="str">
            <v>Harlow</v>
          </cell>
          <cell r="C136" t="str">
            <v>E1538</v>
          </cell>
        </row>
        <row r="137">
          <cell r="A137">
            <v>130</v>
          </cell>
          <cell r="B137" t="str">
            <v>Harrogate</v>
          </cell>
          <cell r="C137" t="str">
            <v>E2753</v>
          </cell>
        </row>
        <row r="138">
          <cell r="A138">
            <v>131</v>
          </cell>
          <cell r="B138" t="str">
            <v>Harrow</v>
          </cell>
          <cell r="C138" t="str">
            <v>E5039</v>
          </cell>
        </row>
        <row r="139">
          <cell r="A139">
            <v>132</v>
          </cell>
          <cell r="B139" t="str">
            <v>Hart</v>
          </cell>
          <cell r="C139" t="str">
            <v>E1736</v>
          </cell>
        </row>
        <row r="140">
          <cell r="A140">
            <v>133</v>
          </cell>
          <cell r="B140" t="str">
            <v>Hartlepool</v>
          </cell>
          <cell r="C140" t="str">
            <v>E0701</v>
          </cell>
        </row>
        <row r="141">
          <cell r="A141">
            <v>134</v>
          </cell>
          <cell r="B141" t="str">
            <v>Hastings</v>
          </cell>
          <cell r="C141" t="str">
            <v>E1433</v>
          </cell>
        </row>
        <row r="142">
          <cell r="A142">
            <v>135</v>
          </cell>
          <cell r="B142" t="str">
            <v>Havant</v>
          </cell>
          <cell r="C142" t="str">
            <v>E1737</v>
          </cell>
        </row>
        <row r="143">
          <cell r="A143">
            <v>136</v>
          </cell>
          <cell r="B143" t="str">
            <v>Havering</v>
          </cell>
          <cell r="C143" t="str">
            <v>E5040</v>
          </cell>
        </row>
        <row r="144">
          <cell r="A144">
            <v>137</v>
          </cell>
          <cell r="B144" t="str">
            <v>Herefordshire </v>
          </cell>
          <cell r="C144" t="str">
            <v>E1801</v>
          </cell>
        </row>
        <row r="145">
          <cell r="A145">
            <v>138</v>
          </cell>
          <cell r="B145" t="str">
            <v>Hertsmere</v>
          </cell>
          <cell r="C145" t="str">
            <v>E1934</v>
          </cell>
        </row>
        <row r="146">
          <cell r="A146">
            <v>139</v>
          </cell>
          <cell r="B146" t="str">
            <v>High Peak</v>
          </cell>
          <cell r="C146" t="str">
            <v>E1037</v>
          </cell>
        </row>
        <row r="147">
          <cell r="A147">
            <v>140</v>
          </cell>
          <cell r="B147" t="str">
            <v>Hillingdon</v>
          </cell>
          <cell r="C147" t="str">
            <v>E5041</v>
          </cell>
        </row>
        <row r="148">
          <cell r="A148">
            <v>141</v>
          </cell>
          <cell r="B148" t="str">
            <v>Hinckley and Bosworth</v>
          </cell>
          <cell r="C148" t="str">
            <v>E2434</v>
          </cell>
        </row>
        <row r="149">
          <cell r="A149">
            <v>142</v>
          </cell>
          <cell r="B149" t="str">
            <v>Horsham</v>
          </cell>
          <cell r="C149" t="str">
            <v>E3835</v>
          </cell>
        </row>
        <row r="150">
          <cell r="A150">
            <v>143</v>
          </cell>
          <cell r="B150" t="str">
            <v>Hounslow</v>
          </cell>
          <cell r="C150" t="str">
            <v>E5042</v>
          </cell>
        </row>
        <row r="151">
          <cell r="A151">
            <v>144</v>
          </cell>
          <cell r="B151" t="str">
            <v>Huntingdonshire</v>
          </cell>
          <cell r="C151" t="str">
            <v>E0551</v>
          </cell>
        </row>
        <row r="152">
          <cell r="A152">
            <v>145</v>
          </cell>
          <cell r="B152" t="str">
            <v>Hyndburn</v>
          </cell>
          <cell r="C152" t="str">
            <v>E2336</v>
          </cell>
        </row>
        <row r="153">
          <cell r="A153">
            <v>146</v>
          </cell>
          <cell r="B153" t="str">
            <v>Ipswich</v>
          </cell>
          <cell r="C153" t="str">
            <v>E3533</v>
          </cell>
        </row>
        <row r="154">
          <cell r="A154">
            <v>147</v>
          </cell>
          <cell r="B154" t="str">
            <v>Isle of Wight Council</v>
          </cell>
          <cell r="C154" t="str">
            <v>E2101</v>
          </cell>
        </row>
        <row r="155">
          <cell r="A155">
            <v>148</v>
          </cell>
          <cell r="B155" t="str">
            <v>Isles of Scilly</v>
          </cell>
          <cell r="C155" t="str">
            <v>E4001</v>
          </cell>
        </row>
        <row r="156">
          <cell r="A156">
            <v>149</v>
          </cell>
          <cell r="B156" t="str">
            <v>Islington</v>
          </cell>
          <cell r="C156" t="str">
            <v>E5015</v>
          </cell>
        </row>
        <row r="157">
          <cell r="A157">
            <v>150</v>
          </cell>
          <cell r="B157" t="str">
            <v>Kennet</v>
          </cell>
          <cell r="C157" t="str">
            <v>E3931</v>
          </cell>
        </row>
        <row r="158">
          <cell r="A158">
            <v>151</v>
          </cell>
          <cell r="B158" t="str">
            <v>Kensington and Chelsea</v>
          </cell>
          <cell r="C158" t="str">
            <v>E5016</v>
          </cell>
        </row>
        <row r="159">
          <cell r="A159">
            <v>152</v>
          </cell>
          <cell r="B159" t="str">
            <v>Kerrier</v>
          </cell>
          <cell r="C159" t="str">
            <v>E0833</v>
          </cell>
        </row>
        <row r="160">
          <cell r="A160">
            <v>153</v>
          </cell>
          <cell r="B160" t="str">
            <v>Kettering</v>
          </cell>
          <cell r="C160" t="str">
            <v>E2834</v>
          </cell>
        </row>
        <row r="161">
          <cell r="A161">
            <v>154</v>
          </cell>
          <cell r="B161" t="str">
            <v>Kings Lynn and West Norfolk</v>
          </cell>
          <cell r="C161" t="str">
            <v>E2634</v>
          </cell>
        </row>
        <row r="162">
          <cell r="A162">
            <v>155</v>
          </cell>
          <cell r="B162" t="str">
            <v>Kingston upon Hull</v>
          </cell>
          <cell r="C162" t="str">
            <v>E2002</v>
          </cell>
        </row>
        <row r="163">
          <cell r="A163">
            <v>156</v>
          </cell>
          <cell r="B163" t="str">
            <v>Kingston upon Thames</v>
          </cell>
          <cell r="C163" t="str">
            <v>E5043</v>
          </cell>
        </row>
        <row r="164">
          <cell r="A164">
            <v>157</v>
          </cell>
          <cell r="B164" t="str">
            <v>Kirklees</v>
          </cell>
          <cell r="C164" t="str">
            <v>E4703</v>
          </cell>
        </row>
        <row r="165">
          <cell r="A165">
            <v>158</v>
          </cell>
          <cell r="B165" t="str">
            <v>Knowsley</v>
          </cell>
          <cell r="C165" t="str">
            <v>E4301</v>
          </cell>
        </row>
        <row r="166">
          <cell r="A166">
            <v>159</v>
          </cell>
          <cell r="B166" t="str">
            <v>Lambeth</v>
          </cell>
          <cell r="C166" t="str">
            <v>E5017</v>
          </cell>
        </row>
        <row r="167">
          <cell r="A167">
            <v>160</v>
          </cell>
          <cell r="B167" t="str">
            <v>Lancaster</v>
          </cell>
          <cell r="C167" t="str">
            <v>E2337</v>
          </cell>
        </row>
        <row r="168">
          <cell r="A168">
            <v>161</v>
          </cell>
          <cell r="B168" t="str">
            <v>Leeds</v>
          </cell>
          <cell r="C168" t="str">
            <v>E4704</v>
          </cell>
        </row>
        <row r="169">
          <cell r="A169">
            <v>162</v>
          </cell>
          <cell r="B169" t="str">
            <v>Leicester</v>
          </cell>
          <cell r="C169" t="str">
            <v>E2401</v>
          </cell>
        </row>
        <row r="170">
          <cell r="A170">
            <v>163</v>
          </cell>
          <cell r="B170" t="str">
            <v>Lewes</v>
          </cell>
          <cell r="C170" t="str">
            <v>E1435</v>
          </cell>
        </row>
        <row r="171">
          <cell r="A171">
            <v>164</v>
          </cell>
          <cell r="B171" t="str">
            <v>Lewisham</v>
          </cell>
          <cell r="C171" t="str">
            <v>E5018</v>
          </cell>
        </row>
        <row r="172">
          <cell r="A172">
            <v>165</v>
          </cell>
          <cell r="B172" t="str">
            <v>Lichfield</v>
          </cell>
          <cell r="C172" t="str">
            <v>E3433</v>
          </cell>
        </row>
        <row r="173">
          <cell r="A173">
            <v>166</v>
          </cell>
          <cell r="B173" t="str">
            <v>Lincoln</v>
          </cell>
          <cell r="C173" t="str">
            <v>E2533</v>
          </cell>
        </row>
        <row r="174">
          <cell r="A174">
            <v>167</v>
          </cell>
          <cell r="B174" t="str">
            <v>Liverpool</v>
          </cell>
          <cell r="C174" t="str">
            <v>E4302</v>
          </cell>
        </row>
        <row r="175">
          <cell r="A175">
            <v>168</v>
          </cell>
          <cell r="B175" t="str">
            <v>Luton</v>
          </cell>
          <cell r="C175" t="str">
            <v>E0201</v>
          </cell>
        </row>
        <row r="176">
          <cell r="A176">
            <v>169</v>
          </cell>
          <cell r="B176" t="str">
            <v>Macclesfield</v>
          </cell>
          <cell r="C176" t="str">
            <v>E0636</v>
          </cell>
        </row>
        <row r="177">
          <cell r="A177">
            <v>170</v>
          </cell>
          <cell r="B177" t="str">
            <v>Maidstone</v>
          </cell>
          <cell r="C177" t="str">
            <v>E2237</v>
          </cell>
        </row>
        <row r="178">
          <cell r="A178">
            <v>171</v>
          </cell>
          <cell r="B178" t="str">
            <v>Maldon</v>
          </cell>
          <cell r="C178" t="str">
            <v>E1539</v>
          </cell>
        </row>
        <row r="179">
          <cell r="A179">
            <v>172</v>
          </cell>
          <cell r="B179" t="str">
            <v>Malvern Hills</v>
          </cell>
          <cell r="C179" t="str">
            <v>E1851</v>
          </cell>
        </row>
        <row r="180">
          <cell r="A180">
            <v>173</v>
          </cell>
          <cell r="B180" t="str">
            <v>Manchester</v>
          </cell>
          <cell r="C180" t="str">
            <v>E4203</v>
          </cell>
        </row>
        <row r="181">
          <cell r="A181">
            <v>174</v>
          </cell>
          <cell r="B181" t="str">
            <v>Mansfield</v>
          </cell>
          <cell r="C181" t="str">
            <v>E3035</v>
          </cell>
        </row>
        <row r="182">
          <cell r="A182">
            <v>175</v>
          </cell>
          <cell r="B182" t="str">
            <v>Medway </v>
          </cell>
          <cell r="C182" t="str">
            <v>E2201</v>
          </cell>
        </row>
        <row r="183">
          <cell r="A183">
            <v>176</v>
          </cell>
          <cell r="B183" t="str">
            <v>Melton</v>
          </cell>
          <cell r="C183" t="str">
            <v>E2436</v>
          </cell>
        </row>
        <row r="184">
          <cell r="A184">
            <v>177</v>
          </cell>
          <cell r="B184" t="str">
            <v>Mendip</v>
          </cell>
          <cell r="C184" t="str">
            <v>E3331</v>
          </cell>
        </row>
        <row r="185">
          <cell r="A185">
            <v>178</v>
          </cell>
          <cell r="B185" t="str">
            <v>Merton</v>
          </cell>
          <cell r="C185" t="str">
            <v>E5044</v>
          </cell>
        </row>
        <row r="186">
          <cell r="A186">
            <v>179</v>
          </cell>
          <cell r="B186" t="str">
            <v>Mid Bedfordshire</v>
          </cell>
          <cell r="C186" t="str">
            <v>E0233</v>
          </cell>
        </row>
        <row r="187">
          <cell r="A187">
            <v>180</v>
          </cell>
          <cell r="B187" t="str">
            <v>Mid Devon</v>
          </cell>
          <cell r="C187" t="str">
            <v>E1133</v>
          </cell>
        </row>
        <row r="188">
          <cell r="A188">
            <v>181</v>
          </cell>
          <cell r="B188" t="str">
            <v>Mid Suffolk</v>
          </cell>
          <cell r="C188" t="str">
            <v>E3534</v>
          </cell>
        </row>
        <row r="189">
          <cell r="A189">
            <v>182</v>
          </cell>
          <cell r="B189" t="str">
            <v>Mid Sussex</v>
          </cell>
          <cell r="C189" t="str">
            <v>E3836</v>
          </cell>
        </row>
        <row r="190">
          <cell r="A190">
            <v>183</v>
          </cell>
          <cell r="B190" t="str">
            <v>Middlesbrough</v>
          </cell>
          <cell r="C190" t="str">
            <v>E0702</v>
          </cell>
        </row>
        <row r="191">
          <cell r="A191">
            <v>184</v>
          </cell>
          <cell r="B191" t="str">
            <v>Milton Keynes</v>
          </cell>
          <cell r="C191" t="str">
            <v>E0401</v>
          </cell>
        </row>
        <row r="192">
          <cell r="A192">
            <v>185</v>
          </cell>
          <cell r="B192" t="str">
            <v>Mole Valley</v>
          </cell>
          <cell r="C192" t="str">
            <v>E3634</v>
          </cell>
        </row>
        <row r="193">
          <cell r="A193">
            <v>186</v>
          </cell>
          <cell r="B193" t="str">
            <v>New Forest</v>
          </cell>
          <cell r="C193" t="str">
            <v>E1738</v>
          </cell>
        </row>
        <row r="194">
          <cell r="A194">
            <v>187</v>
          </cell>
          <cell r="B194" t="str">
            <v>Newark and Sherwood</v>
          </cell>
          <cell r="C194" t="str">
            <v>E3036</v>
          </cell>
        </row>
        <row r="195">
          <cell r="A195">
            <v>188</v>
          </cell>
          <cell r="B195" t="str">
            <v>Newcastle upon Tyne</v>
          </cell>
          <cell r="C195" t="str">
            <v>E4502</v>
          </cell>
        </row>
        <row r="196">
          <cell r="A196">
            <v>189</v>
          </cell>
          <cell r="B196" t="str">
            <v>Newcastle-under-Lyme</v>
          </cell>
          <cell r="C196" t="str">
            <v>E3434</v>
          </cell>
        </row>
        <row r="197">
          <cell r="A197">
            <v>190</v>
          </cell>
          <cell r="B197" t="str">
            <v>Newham</v>
          </cell>
          <cell r="C197" t="str">
            <v>E5045</v>
          </cell>
        </row>
        <row r="198">
          <cell r="A198">
            <v>191</v>
          </cell>
          <cell r="B198" t="str">
            <v>North Cornwall</v>
          </cell>
          <cell r="C198" t="str">
            <v>E0834</v>
          </cell>
        </row>
        <row r="199">
          <cell r="A199">
            <v>192</v>
          </cell>
          <cell r="B199" t="str">
            <v>North Devon</v>
          </cell>
          <cell r="C199" t="str">
            <v>E1134</v>
          </cell>
        </row>
        <row r="200">
          <cell r="A200">
            <v>193</v>
          </cell>
          <cell r="B200" t="str">
            <v>North Dorset</v>
          </cell>
          <cell r="C200" t="str">
            <v>E1234</v>
          </cell>
        </row>
        <row r="201">
          <cell r="A201">
            <v>194</v>
          </cell>
          <cell r="B201" t="str">
            <v>North East Derbyshire</v>
          </cell>
          <cell r="C201" t="str">
            <v>E1038</v>
          </cell>
        </row>
        <row r="202">
          <cell r="A202">
            <v>195</v>
          </cell>
          <cell r="B202" t="str">
            <v>North East Lincolnshire</v>
          </cell>
          <cell r="C202" t="str">
            <v>E2003</v>
          </cell>
        </row>
        <row r="203">
          <cell r="A203">
            <v>196</v>
          </cell>
          <cell r="B203" t="str">
            <v>North Hertfordshire</v>
          </cell>
          <cell r="C203" t="str">
            <v>E1935</v>
          </cell>
        </row>
        <row r="204">
          <cell r="A204">
            <v>197</v>
          </cell>
          <cell r="B204" t="str">
            <v>North Kesteven</v>
          </cell>
          <cell r="C204" t="str">
            <v>E2534</v>
          </cell>
        </row>
        <row r="205">
          <cell r="A205">
            <v>198</v>
          </cell>
          <cell r="B205" t="str">
            <v>North Lincolnshire</v>
          </cell>
          <cell r="C205" t="str">
            <v>E2004</v>
          </cell>
        </row>
        <row r="206">
          <cell r="A206">
            <v>199</v>
          </cell>
          <cell r="B206" t="str">
            <v>North Norfolk</v>
          </cell>
          <cell r="C206" t="str">
            <v>E2635</v>
          </cell>
        </row>
        <row r="207">
          <cell r="A207">
            <v>200</v>
          </cell>
          <cell r="B207" t="str">
            <v>North Shropshire</v>
          </cell>
          <cell r="C207" t="str">
            <v>E3232</v>
          </cell>
        </row>
        <row r="208">
          <cell r="A208">
            <v>201</v>
          </cell>
          <cell r="B208" t="str">
            <v>North Somerset</v>
          </cell>
          <cell r="C208" t="str">
            <v>E0104</v>
          </cell>
        </row>
        <row r="209">
          <cell r="A209">
            <v>202</v>
          </cell>
          <cell r="B209" t="str">
            <v>North Tyneside</v>
          </cell>
          <cell r="C209" t="str">
            <v>E4503</v>
          </cell>
        </row>
        <row r="210">
          <cell r="A210">
            <v>203</v>
          </cell>
          <cell r="B210" t="str">
            <v>North Warwickshire</v>
          </cell>
          <cell r="C210" t="str">
            <v>E3731</v>
          </cell>
        </row>
        <row r="211">
          <cell r="A211">
            <v>204</v>
          </cell>
          <cell r="B211" t="str">
            <v>North West Leicestershire</v>
          </cell>
          <cell r="C211" t="str">
            <v>E2437</v>
          </cell>
        </row>
        <row r="212">
          <cell r="A212">
            <v>205</v>
          </cell>
          <cell r="B212" t="str">
            <v>North Wiltshire</v>
          </cell>
          <cell r="C212" t="str">
            <v>E3932</v>
          </cell>
        </row>
        <row r="213">
          <cell r="A213">
            <v>206</v>
          </cell>
          <cell r="B213" t="str">
            <v>Northampton</v>
          </cell>
          <cell r="C213" t="str">
            <v>E2835</v>
          </cell>
        </row>
        <row r="214">
          <cell r="A214">
            <v>207</v>
          </cell>
          <cell r="B214" t="str">
            <v>Norwich</v>
          </cell>
          <cell r="C214" t="str">
            <v>E2636</v>
          </cell>
        </row>
        <row r="215">
          <cell r="A215">
            <v>208</v>
          </cell>
          <cell r="B215" t="str">
            <v>Nottingham</v>
          </cell>
          <cell r="C215" t="str">
            <v>E3001</v>
          </cell>
        </row>
        <row r="216">
          <cell r="A216">
            <v>209</v>
          </cell>
          <cell r="B216" t="str">
            <v>Nuneaton and Bedworth</v>
          </cell>
          <cell r="C216" t="str">
            <v>E3732</v>
          </cell>
        </row>
        <row r="217">
          <cell r="A217">
            <v>210</v>
          </cell>
          <cell r="B217" t="str">
            <v>Oadby and Wigston</v>
          </cell>
          <cell r="C217" t="str">
            <v>E2438</v>
          </cell>
        </row>
        <row r="218">
          <cell r="A218">
            <v>211</v>
          </cell>
          <cell r="B218" t="str">
            <v>Oldham</v>
          </cell>
          <cell r="C218" t="str">
            <v>E4204</v>
          </cell>
        </row>
        <row r="219">
          <cell r="A219">
            <v>212</v>
          </cell>
          <cell r="B219" t="str">
            <v>Oswestry</v>
          </cell>
          <cell r="C219" t="str">
            <v>E3233</v>
          </cell>
        </row>
        <row r="220">
          <cell r="A220">
            <v>213</v>
          </cell>
          <cell r="B220" t="str">
            <v>Oxford</v>
          </cell>
          <cell r="C220" t="str">
            <v>E3132</v>
          </cell>
        </row>
        <row r="221">
          <cell r="A221">
            <v>214</v>
          </cell>
          <cell r="B221" t="str">
            <v>Pendle</v>
          </cell>
          <cell r="C221" t="str">
            <v>E2338</v>
          </cell>
        </row>
        <row r="222">
          <cell r="A222">
            <v>215</v>
          </cell>
          <cell r="B222" t="str">
            <v>Penwith</v>
          </cell>
          <cell r="C222" t="str">
            <v>E0835</v>
          </cell>
        </row>
        <row r="223">
          <cell r="A223">
            <v>216</v>
          </cell>
          <cell r="B223" t="str">
            <v>Peterborough</v>
          </cell>
          <cell r="C223" t="str">
            <v>E0501</v>
          </cell>
        </row>
        <row r="224">
          <cell r="A224">
            <v>217</v>
          </cell>
          <cell r="B224" t="str">
            <v>Plymouth</v>
          </cell>
          <cell r="C224" t="str">
            <v>E1101</v>
          </cell>
        </row>
        <row r="225">
          <cell r="A225">
            <v>218</v>
          </cell>
          <cell r="B225" t="str">
            <v>Poole</v>
          </cell>
          <cell r="C225" t="str">
            <v>E1201</v>
          </cell>
        </row>
        <row r="226">
          <cell r="A226">
            <v>219</v>
          </cell>
          <cell r="B226" t="str">
            <v>Portsmouth</v>
          </cell>
          <cell r="C226" t="str">
            <v>E1701</v>
          </cell>
        </row>
        <row r="227">
          <cell r="A227">
            <v>220</v>
          </cell>
          <cell r="B227" t="str">
            <v>Preston</v>
          </cell>
          <cell r="C227" t="str">
            <v>E2339</v>
          </cell>
        </row>
        <row r="228">
          <cell r="A228">
            <v>221</v>
          </cell>
          <cell r="B228" t="str">
            <v>Purbeck</v>
          </cell>
          <cell r="C228" t="str">
            <v>E1236</v>
          </cell>
        </row>
        <row r="229">
          <cell r="A229">
            <v>222</v>
          </cell>
          <cell r="B229" t="str">
            <v>Reading</v>
          </cell>
          <cell r="C229" t="str">
            <v>E0303</v>
          </cell>
        </row>
        <row r="230">
          <cell r="A230">
            <v>223</v>
          </cell>
          <cell r="B230" t="str">
            <v>Redbridge</v>
          </cell>
          <cell r="C230" t="str">
            <v>E5046</v>
          </cell>
        </row>
        <row r="231">
          <cell r="A231">
            <v>224</v>
          </cell>
          <cell r="B231" t="str">
            <v>Redcar and Cleveland</v>
          </cell>
          <cell r="C231" t="str">
            <v>E0703</v>
          </cell>
        </row>
        <row r="232">
          <cell r="A232">
            <v>225</v>
          </cell>
          <cell r="B232" t="str">
            <v>Redditch</v>
          </cell>
          <cell r="C232" t="str">
            <v>E1835</v>
          </cell>
        </row>
        <row r="233">
          <cell r="A233">
            <v>226</v>
          </cell>
          <cell r="B233" t="str">
            <v>Reigate and Banstead</v>
          </cell>
          <cell r="C233" t="str">
            <v>E3635</v>
          </cell>
        </row>
        <row r="234">
          <cell r="A234">
            <v>227</v>
          </cell>
          <cell r="B234" t="str">
            <v>Restormel</v>
          </cell>
          <cell r="C234" t="str">
            <v>E0836</v>
          </cell>
        </row>
        <row r="235">
          <cell r="A235">
            <v>228</v>
          </cell>
          <cell r="B235" t="str">
            <v>Ribble Valley</v>
          </cell>
          <cell r="C235" t="str">
            <v>E2340</v>
          </cell>
        </row>
        <row r="236">
          <cell r="A236">
            <v>229</v>
          </cell>
          <cell r="B236" t="str">
            <v>Richmond upon Thames</v>
          </cell>
          <cell r="C236" t="str">
            <v>E5047</v>
          </cell>
        </row>
        <row r="237">
          <cell r="A237">
            <v>230</v>
          </cell>
          <cell r="B237" t="str">
            <v>Richmondshire</v>
          </cell>
          <cell r="C237" t="str">
            <v>E2734</v>
          </cell>
        </row>
        <row r="238">
          <cell r="A238">
            <v>231</v>
          </cell>
          <cell r="B238" t="str">
            <v>Rochdale</v>
          </cell>
          <cell r="C238" t="str">
            <v>E4205</v>
          </cell>
        </row>
        <row r="239">
          <cell r="A239">
            <v>232</v>
          </cell>
          <cell r="B239" t="str">
            <v>Rochford</v>
          </cell>
          <cell r="C239" t="str">
            <v>E1540</v>
          </cell>
        </row>
        <row r="240">
          <cell r="A240">
            <v>233</v>
          </cell>
          <cell r="B240" t="str">
            <v>Rossendale</v>
          </cell>
          <cell r="C240" t="str">
            <v>E2341</v>
          </cell>
        </row>
        <row r="241">
          <cell r="A241">
            <v>234</v>
          </cell>
          <cell r="B241" t="str">
            <v>Rother</v>
          </cell>
          <cell r="C241" t="str">
            <v>E1436</v>
          </cell>
        </row>
        <row r="242">
          <cell r="A242">
            <v>235</v>
          </cell>
          <cell r="B242" t="str">
            <v>Rotherham</v>
          </cell>
          <cell r="C242" t="str">
            <v>E4403</v>
          </cell>
        </row>
        <row r="243">
          <cell r="A243">
            <v>236</v>
          </cell>
          <cell r="B243" t="str">
            <v>Rugby</v>
          </cell>
          <cell r="C243" t="str">
            <v>E3733</v>
          </cell>
        </row>
        <row r="244">
          <cell r="A244">
            <v>237</v>
          </cell>
          <cell r="B244" t="str">
            <v>Runnymede</v>
          </cell>
          <cell r="C244" t="str">
            <v>E3636</v>
          </cell>
        </row>
        <row r="245">
          <cell r="A245">
            <v>238</v>
          </cell>
          <cell r="B245" t="str">
            <v>Rushcliffe</v>
          </cell>
          <cell r="C245" t="str">
            <v>E3038</v>
          </cell>
        </row>
        <row r="246">
          <cell r="A246">
            <v>239</v>
          </cell>
          <cell r="B246" t="str">
            <v>Rushmoor</v>
          </cell>
          <cell r="C246" t="str">
            <v>E1740</v>
          </cell>
        </row>
        <row r="247">
          <cell r="A247">
            <v>240</v>
          </cell>
          <cell r="B247" t="str">
            <v>Rutland</v>
          </cell>
          <cell r="C247" t="str">
            <v>E2402</v>
          </cell>
        </row>
        <row r="248">
          <cell r="A248">
            <v>241</v>
          </cell>
          <cell r="B248" t="str">
            <v>Ryedale</v>
          </cell>
          <cell r="C248" t="str">
            <v>E2755</v>
          </cell>
        </row>
        <row r="249">
          <cell r="A249">
            <v>242</v>
          </cell>
          <cell r="B249" t="str">
            <v>Salford</v>
          </cell>
          <cell r="C249" t="str">
            <v>E4206</v>
          </cell>
        </row>
        <row r="250">
          <cell r="A250">
            <v>243</v>
          </cell>
          <cell r="B250" t="str">
            <v>Salisbury</v>
          </cell>
          <cell r="C250" t="str">
            <v>E3933</v>
          </cell>
        </row>
        <row r="251">
          <cell r="A251">
            <v>244</v>
          </cell>
          <cell r="B251" t="str">
            <v>Sandwell</v>
          </cell>
          <cell r="C251" t="str">
            <v>E4604</v>
          </cell>
        </row>
        <row r="252">
          <cell r="A252">
            <v>245</v>
          </cell>
          <cell r="B252" t="str">
            <v>Scarborough</v>
          </cell>
          <cell r="C252" t="str">
            <v>E2736</v>
          </cell>
        </row>
        <row r="253">
          <cell r="A253">
            <v>246</v>
          </cell>
          <cell r="B253" t="str">
            <v>Sedgefield</v>
          </cell>
          <cell r="C253" t="str">
            <v>E1336</v>
          </cell>
        </row>
        <row r="254">
          <cell r="A254">
            <v>247</v>
          </cell>
          <cell r="B254" t="str">
            <v>Sedgemoor</v>
          </cell>
          <cell r="C254" t="str">
            <v>E3332</v>
          </cell>
        </row>
        <row r="255">
          <cell r="A255">
            <v>248</v>
          </cell>
          <cell r="B255" t="str">
            <v>Sefton</v>
          </cell>
          <cell r="C255" t="str">
            <v>E4304</v>
          </cell>
        </row>
        <row r="256">
          <cell r="A256">
            <v>249</v>
          </cell>
          <cell r="B256" t="str">
            <v>Selby</v>
          </cell>
          <cell r="C256" t="str">
            <v>E2757</v>
          </cell>
        </row>
        <row r="257">
          <cell r="A257">
            <v>250</v>
          </cell>
          <cell r="B257" t="str">
            <v>Sevenoaks</v>
          </cell>
          <cell r="C257" t="str">
            <v>E2239</v>
          </cell>
        </row>
        <row r="258">
          <cell r="A258">
            <v>251</v>
          </cell>
          <cell r="B258" t="str">
            <v>Sheffield</v>
          </cell>
          <cell r="C258" t="str">
            <v>E4404</v>
          </cell>
        </row>
        <row r="259">
          <cell r="A259">
            <v>252</v>
          </cell>
          <cell r="B259" t="str">
            <v>Shepway</v>
          </cell>
          <cell r="C259" t="str">
            <v>E2240</v>
          </cell>
        </row>
        <row r="260">
          <cell r="A260">
            <v>253</v>
          </cell>
          <cell r="B260" t="str">
            <v>Shrewsbury and Atcham</v>
          </cell>
          <cell r="C260" t="str">
            <v>E3234</v>
          </cell>
        </row>
        <row r="261">
          <cell r="A261">
            <v>254</v>
          </cell>
          <cell r="B261" t="str">
            <v>Slough</v>
          </cell>
          <cell r="C261" t="str">
            <v>E0304</v>
          </cell>
        </row>
        <row r="262">
          <cell r="A262">
            <v>255</v>
          </cell>
          <cell r="B262" t="str">
            <v>Solihull</v>
          </cell>
          <cell r="C262" t="str">
            <v>E4605</v>
          </cell>
        </row>
        <row r="263">
          <cell r="A263">
            <v>256</v>
          </cell>
          <cell r="B263" t="str">
            <v>South Bedfordshire</v>
          </cell>
          <cell r="C263" t="str">
            <v>E0234</v>
          </cell>
        </row>
        <row r="264">
          <cell r="A264">
            <v>257</v>
          </cell>
          <cell r="B264" t="str">
            <v>South Bucks</v>
          </cell>
          <cell r="C264" t="str">
            <v>E0434</v>
          </cell>
        </row>
        <row r="265">
          <cell r="A265">
            <v>258</v>
          </cell>
          <cell r="B265" t="str">
            <v>South Cambridgeshire</v>
          </cell>
          <cell r="C265" t="str">
            <v>E0536</v>
          </cell>
        </row>
        <row r="266">
          <cell r="A266">
            <v>259</v>
          </cell>
          <cell r="B266" t="str">
            <v>South Derbyshire</v>
          </cell>
          <cell r="C266" t="str">
            <v>E1039</v>
          </cell>
        </row>
        <row r="267">
          <cell r="A267">
            <v>260</v>
          </cell>
          <cell r="B267" t="str">
            <v>South Gloucestershire</v>
          </cell>
          <cell r="C267" t="str">
            <v>E0103</v>
          </cell>
        </row>
        <row r="268">
          <cell r="A268">
            <v>261</v>
          </cell>
          <cell r="B268" t="str">
            <v>South Hams</v>
          </cell>
          <cell r="C268" t="str">
            <v>E1136</v>
          </cell>
        </row>
        <row r="269">
          <cell r="A269">
            <v>262</v>
          </cell>
          <cell r="B269" t="str">
            <v>South Holland</v>
          </cell>
          <cell r="C269" t="str">
            <v>E2535</v>
          </cell>
        </row>
        <row r="270">
          <cell r="A270">
            <v>263</v>
          </cell>
          <cell r="B270" t="str">
            <v>South Kesteven</v>
          </cell>
          <cell r="C270" t="str">
            <v>E2536</v>
          </cell>
        </row>
        <row r="271">
          <cell r="A271">
            <v>264</v>
          </cell>
          <cell r="B271" t="str">
            <v>South Lakeland</v>
          </cell>
          <cell r="C271" t="str">
            <v>E0936</v>
          </cell>
        </row>
        <row r="272">
          <cell r="A272">
            <v>265</v>
          </cell>
          <cell r="B272" t="str">
            <v>South Norfolk</v>
          </cell>
          <cell r="C272" t="str">
            <v>E2637</v>
          </cell>
        </row>
        <row r="273">
          <cell r="A273">
            <v>266</v>
          </cell>
          <cell r="B273" t="str">
            <v>South Northamptonshire</v>
          </cell>
          <cell r="C273" t="str">
            <v>E2836</v>
          </cell>
        </row>
        <row r="274">
          <cell r="A274">
            <v>267</v>
          </cell>
          <cell r="B274" t="str">
            <v>South Oxfordshire</v>
          </cell>
          <cell r="C274" t="str">
            <v>E3133</v>
          </cell>
        </row>
        <row r="275">
          <cell r="A275">
            <v>268</v>
          </cell>
          <cell r="B275" t="str">
            <v>South Ribble</v>
          </cell>
          <cell r="C275" t="str">
            <v>E2342</v>
          </cell>
        </row>
        <row r="276">
          <cell r="A276">
            <v>269</v>
          </cell>
          <cell r="B276" t="str">
            <v>South Shropshire</v>
          </cell>
          <cell r="C276" t="str">
            <v>E3235</v>
          </cell>
        </row>
        <row r="277">
          <cell r="A277">
            <v>270</v>
          </cell>
          <cell r="B277" t="str">
            <v>South Somerset</v>
          </cell>
          <cell r="C277" t="str">
            <v>E3334</v>
          </cell>
        </row>
        <row r="278">
          <cell r="A278">
            <v>271</v>
          </cell>
          <cell r="B278" t="str">
            <v>South Staffordshire</v>
          </cell>
          <cell r="C278" t="str">
            <v>E3435</v>
          </cell>
        </row>
        <row r="279">
          <cell r="A279">
            <v>272</v>
          </cell>
          <cell r="B279" t="str">
            <v>South Tyneside</v>
          </cell>
          <cell r="C279" t="str">
            <v>E4504</v>
          </cell>
        </row>
        <row r="280">
          <cell r="A280">
            <v>273</v>
          </cell>
          <cell r="B280" t="str">
            <v>Southampton</v>
          </cell>
          <cell r="C280" t="str">
            <v>E1702</v>
          </cell>
        </row>
        <row r="281">
          <cell r="A281">
            <v>274</v>
          </cell>
          <cell r="B281" t="str">
            <v>Southend-on-Sea</v>
          </cell>
          <cell r="C281" t="str">
            <v>E1501</v>
          </cell>
        </row>
        <row r="282">
          <cell r="A282">
            <v>275</v>
          </cell>
          <cell r="B282" t="str">
            <v>Southwark</v>
          </cell>
          <cell r="C282" t="str">
            <v>E5019</v>
          </cell>
        </row>
        <row r="283">
          <cell r="A283">
            <v>276</v>
          </cell>
          <cell r="B283" t="str">
            <v>Spelthorne</v>
          </cell>
          <cell r="C283" t="str">
            <v>E3637</v>
          </cell>
        </row>
        <row r="284">
          <cell r="A284">
            <v>277</v>
          </cell>
          <cell r="B284" t="str">
            <v>St Albans</v>
          </cell>
          <cell r="C284" t="str">
            <v>E1936</v>
          </cell>
        </row>
        <row r="285">
          <cell r="A285">
            <v>278</v>
          </cell>
          <cell r="B285" t="str">
            <v>St Edmundsbury</v>
          </cell>
          <cell r="C285" t="str">
            <v>E3535</v>
          </cell>
        </row>
        <row r="286">
          <cell r="A286">
            <v>279</v>
          </cell>
          <cell r="B286" t="str">
            <v>St Helens</v>
          </cell>
          <cell r="C286" t="str">
            <v>E4303</v>
          </cell>
        </row>
        <row r="287">
          <cell r="A287">
            <v>280</v>
          </cell>
          <cell r="B287" t="str">
            <v>Stafford</v>
          </cell>
          <cell r="C287" t="str">
            <v>E3436</v>
          </cell>
        </row>
        <row r="288">
          <cell r="A288">
            <v>281</v>
          </cell>
          <cell r="B288" t="str">
            <v>Staffordshire Moorlands</v>
          </cell>
          <cell r="C288" t="str">
            <v>E3437</v>
          </cell>
        </row>
        <row r="289">
          <cell r="A289">
            <v>282</v>
          </cell>
          <cell r="B289" t="str">
            <v>Stevenage</v>
          </cell>
          <cell r="C289" t="str">
            <v>E1937</v>
          </cell>
        </row>
        <row r="290">
          <cell r="A290">
            <v>283</v>
          </cell>
          <cell r="B290" t="str">
            <v>Stockport</v>
          </cell>
          <cell r="C290" t="str">
            <v>E4207</v>
          </cell>
        </row>
        <row r="291">
          <cell r="A291">
            <v>284</v>
          </cell>
          <cell r="B291" t="str">
            <v>Stockton-on-Tees</v>
          </cell>
          <cell r="C291" t="str">
            <v>E0704</v>
          </cell>
        </row>
        <row r="292">
          <cell r="A292">
            <v>285</v>
          </cell>
          <cell r="B292" t="str">
            <v>Stoke-on-Trent</v>
          </cell>
          <cell r="C292" t="str">
            <v>E3401</v>
          </cell>
        </row>
        <row r="293">
          <cell r="A293">
            <v>286</v>
          </cell>
          <cell r="B293" t="str">
            <v>Stratford-on-Avon</v>
          </cell>
          <cell r="C293" t="str">
            <v>E3734</v>
          </cell>
        </row>
        <row r="294">
          <cell r="A294">
            <v>287</v>
          </cell>
          <cell r="B294" t="str">
            <v>Stroud</v>
          </cell>
          <cell r="C294" t="str">
            <v>E1635</v>
          </cell>
        </row>
        <row r="295">
          <cell r="A295">
            <v>288</v>
          </cell>
          <cell r="B295" t="str">
            <v>Suffolk Coastal</v>
          </cell>
          <cell r="C295" t="str">
            <v>E3536</v>
          </cell>
        </row>
        <row r="296">
          <cell r="A296">
            <v>289</v>
          </cell>
          <cell r="B296" t="str">
            <v>Sunderland</v>
          </cell>
          <cell r="C296" t="str">
            <v>E4505</v>
          </cell>
        </row>
        <row r="297">
          <cell r="A297">
            <v>290</v>
          </cell>
          <cell r="B297" t="str">
            <v>Surrey Heath</v>
          </cell>
          <cell r="C297" t="str">
            <v>E3638</v>
          </cell>
        </row>
        <row r="298">
          <cell r="A298">
            <v>291</v>
          </cell>
          <cell r="B298" t="str">
            <v>Sutton</v>
          </cell>
          <cell r="C298" t="str">
            <v>E5048</v>
          </cell>
        </row>
        <row r="299">
          <cell r="A299">
            <v>292</v>
          </cell>
          <cell r="B299" t="str">
            <v>Swale</v>
          </cell>
          <cell r="C299" t="str">
            <v>E2241</v>
          </cell>
        </row>
        <row r="300">
          <cell r="A300">
            <v>293</v>
          </cell>
          <cell r="B300" t="str">
            <v>Swindon</v>
          </cell>
          <cell r="C300" t="str">
            <v>E3901</v>
          </cell>
        </row>
        <row r="301">
          <cell r="A301">
            <v>294</v>
          </cell>
          <cell r="B301" t="str">
            <v>Tameside</v>
          </cell>
          <cell r="C301" t="str">
            <v>E4208</v>
          </cell>
        </row>
        <row r="302">
          <cell r="A302">
            <v>295</v>
          </cell>
          <cell r="B302" t="str">
            <v>Tamworth</v>
          </cell>
          <cell r="C302" t="str">
            <v>E3439</v>
          </cell>
        </row>
        <row r="303">
          <cell r="A303">
            <v>296</v>
          </cell>
          <cell r="B303" t="str">
            <v>Tandridge</v>
          </cell>
          <cell r="C303" t="str">
            <v>E3639</v>
          </cell>
        </row>
        <row r="304">
          <cell r="A304">
            <v>297</v>
          </cell>
          <cell r="B304" t="str">
            <v>Taunton Deane</v>
          </cell>
          <cell r="C304" t="str">
            <v>E3333</v>
          </cell>
        </row>
        <row r="305">
          <cell r="A305">
            <v>298</v>
          </cell>
          <cell r="B305" t="str">
            <v>Teesdale</v>
          </cell>
          <cell r="C305" t="str">
            <v>E1337</v>
          </cell>
        </row>
        <row r="306">
          <cell r="A306">
            <v>299</v>
          </cell>
          <cell r="B306" t="str">
            <v>Teignbridge</v>
          </cell>
          <cell r="C306" t="str">
            <v>E1137</v>
          </cell>
        </row>
        <row r="307">
          <cell r="A307">
            <v>300</v>
          </cell>
          <cell r="B307" t="str">
            <v>Telford and the Wrekin</v>
          </cell>
          <cell r="C307" t="str">
            <v>E3201</v>
          </cell>
        </row>
        <row r="308">
          <cell r="A308">
            <v>301</v>
          </cell>
          <cell r="B308" t="str">
            <v>Tendring</v>
          </cell>
          <cell r="C308" t="str">
            <v>E1542</v>
          </cell>
        </row>
        <row r="309">
          <cell r="A309">
            <v>302</v>
          </cell>
          <cell r="B309" t="str">
            <v>Test Valley</v>
          </cell>
          <cell r="C309" t="str">
            <v>E1742</v>
          </cell>
        </row>
        <row r="310">
          <cell r="A310">
            <v>303</v>
          </cell>
          <cell r="B310" t="str">
            <v>Tewkesbury</v>
          </cell>
          <cell r="C310" t="str">
            <v>E1636</v>
          </cell>
        </row>
        <row r="311">
          <cell r="A311">
            <v>304</v>
          </cell>
          <cell r="B311" t="str">
            <v>Thanet</v>
          </cell>
          <cell r="C311" t="str">
            <v>E2242</v>
          </cell>
        </row>
        <row r="312">
          <cell r="A312">
            <v>305</v>
          </cell>
          <cell r="B312" t="str">
            <v>Three Rivers</v>
          </cell>
          <cell r="C312" t="str">
            <v>E1938</v>
          </cell>
        </row>
        <row r="313">
          <cell r="A313">
            <v>306</v>
          </cell>
          <cell r="B313" t="str">
            <v>Thurrock</v>
          </cell>
          <cell r="C313" t="str">
            <v>E1502</v>
          </cell>
        </row>
        <row r="314">
          <cell r="A314">
            <v>307</v>
          </cell>
          <cell r="B314" t="str">
            <v>Tonbridge and Malling</v>
          </cell>
          <cell r="C314" t="str">
            <v>E2243</v>
          </cell>
        </row>
        <row r="315">
          <cell r="A315">
            <v>308</v>
          </cell>
          <cell r="B315" t="str">
            <v>Torbay</v>
          </cell>
          <cell r="C315" t="str">
            <v>E1102</v>
          </cell>
        </row>
        <row r="316">
          <cell r="A316">
            <v>309</v>
          </cell>
          <cell r="B316" t="str">
            <v>Torridge</v>
          </cell>
          <cell r="C316" t="str">
            <v>E1139</v>
          </cell>
        </row>
        <row r="317">
          <cell r="A317">
            <v>310</v>
          </cell>
          <cell r="B317" t="str">
            <v>Tower Hamlets</v>
          </cell>
          <cell r="C317" t="str">
            <v>E5020</v>
          </cell>
        </row>
        <row r="318">
          <cell r="A318">
            <v>311</v>
          </cell>
          <cell r="B318" t="str">
            <v>Trafford</v>
          </cell>
          <cell r="C318" t="str">
            <v>E4209</v>
          </cell>
        </row>
        <row r="319">
          <cell r="A319">
            <v>312</v>
          </cell>
          <cell r="B319" t="str">
            <v>Tunbridge Wells</v>
          </cell>
          <cell r="C319" t="str">
            <v>E2244</v>
          </cell>
        </row>
        <row r="320">
          <cell r="A320">
            <v>313</v>
          </cell>
          <cell r="B320" t="str">
            <v>Tynedale</v>
          </cell>
          <cell r="C320" t="str">
            <v>E2935</v>
          </cell>
        </row>
        <row r="321">
          <cell r="A321">
            <v>314</v>
          </cell>
          <cell r="B321" t="str">
            <v>Uttlesford</v>
          </cell>
          <cell r="C321" t="str">
            <v>E1544</v>
          </cell>
        </row>
        <row r="322">
          <cell r="A322">
            <v>315</v>
          </cell>
          <cell r="B322" t="str">
            <v>Vale of White Horse</v>
          </cell>
          <cell r="C322" t="str">
            <v>E3134</v>
          </cell>
        </row>
        <row r="323">
          <cell r="A323">
            <v>316</v>
          </cell>
          <cell r="B323" t="str">
            <v>Vale Royal</v>
          </cell>
          <cell r="C323" t="str">
            <v>E0637</v>
          </cell>
        </row>
        <row r="324">
          <cell r="A324">
            <v>317</v>
          </cell>
          <cell r="B324" t="str">
            <v>Wakefield</v>
          </cell>
          <cell r="C324" t="str">
            <v>E4705</v>
          </cell>
        </row>
        <row r="325">
          <cell r="A325">
            <v>318</v>
          </cell>
          <cell r="B325" t="str">
            <v>Walsall</v>
          </cell>
          <cell r="C325" t="str">
            <v>E4606</v>
          </cell>
        </row>
        <row r="326">
          <cell r="A326">
            <v>319</v>
          </cell>
          <cell r="B326" t="str">
            <v>Waltham Forest</v>
          </cell>
          <cell r="C326" t="str">
            <v>E5049</v>
          </cell>
        </row>
        <row r="327">
          <cell r="A327">
            <v>320</v>
          </cell>
          <cell r="B327" t="str">
            <v>Wandsworth</v>
          </cell>
          <cell r="C327" t="str">
            <v>E5021</v>
          </cell>
        </row>
        <row r="328">
          <cell r="A328">
            <v>321</v>
          </cell>
          <cell r="B328" t="str">
            <v>Wansbeck</v>
          </cell>
          <cell r="C328" t="str">
            <v>E2936</v>
          </cell>
        </row>
        <row r="329">
          <cell r="A329">
            <v>322</v>
          </cell>
          <cell r="B329" t="str">
            <v>Warrington</v>
          </cell>
          <cell r="C329" t="str">
            <v>E0602</v>
          </cell>
        </row>
        <row r="330">
          <cell r="A330">
            <v>323</v>
          </cell>
          <cell r="B330" t="str">
            <v>Warwick</v>
          </cell>
          <cell r="C330" t="str">
            <v>E3735</v>
          </cell>
        </row>
        <row r="331">
          <cell r="A331">
            <v>324</v>
          </cell>
          <cell r="B331" t="str">
            <v>Watford</v>
          </cell>
          <cell r="C331" t="str">
            <v>E1939</v>
          </cell>
        </row>
        <row r="332">
          <cell r="A332">
            <v>325</v>
          </cell>
          <cell r="B332" t="str">
            <v>Waveney</v>
          </cell>
          <cell r="C332" t="str">
            <v>E3537</v>
          </cell>
        </row>
        <row r="333">
          <cell r="A333">
            <v>326</v>
          </cell>
          <cell r="B333" t="str">
            <v>Waverley</v>
          </cell>
          <cell r="C333" t="str">
            <v>E3640</v>
          </cell>
        </row>
        <row r="334">
          <cell r="A334">
            <v>327</v>
          </cell>
          <cell r="B334" t="str">
            <v>Wealden</v>
          </cell>
          <cell r="C334" t="str">
            <v>E1437</v>
          </cell>
        </row>
        <row r="335">
          <cell r="A335">
            <v>328</v>
          </cell>
          <cell r="B335" t="str">
            <v>Wear Valley</v>
          </cell>
          <cell r="C335" t="str">
            <v>E1338</v>
          </cell>
        </row>
        <row r="336">
          <cell r="A336">
            <v>329</v>
          </cell>
          <cell r="B336" t="str">
            <v>Wellingborough</v>
          </cell>
          <cell r="C336" t="str">
            <v>E2837</v>
          </cell>
        </row>
        <row r="337">
          <cell r="A337">
            <v>330</v>
          </cell>
          <cell r="B337" t="str">
            <v>Welwyn Hatfield</v>
          </cell>
          <cell r="C337" t="str">
            <v>E1940</v>
          </cell>
        </row>
        <row r="338">
          <cell r="A338">
            <v>331</v>
          </cell>
          <cell r="B338" t="str">
            <v>West Berkshire</v>
          </cell>
          <cell r="C338" t="str">
            <v>E0302</v>
          </cell>
        </row>
        <row r="339">
          <cell r="A339">
            <v>332</v>
          </cell>
          <cell r="B339" t="str">
            <v>West Devon</v>
          </cell>
          <cell r="C339" t="str">
            <v>E1140</v>
          </cell>
        </row>
        <row r="340">
          <cell r="A340">
            <v>333</v>
          </cell>
          <cell r="B340" t="str">
            <v>West Dorset</v>
          </cell>
          <cell r="C340" t="str">
            <v>E1237</v>
          </cell>
        </row>
        <row r="341">
          <cell r="A341">
            <v>334</v>
          </cell>
          <cell r="B341" t="str">
            <v>West Lancashire</v>
          </cell>
          <cell r="C341" t="str">
            <v>E2343</v>
          </cell>
        </row>
        <row r="342">
          <cell r="A342">
            <v>335</v>
          </cell>
          <cell r="B342" t="str">
            <v>West Lindsey</v>
          </cell>
          <cell r="C342" t="str">
            <v>E2537</v>
          </cell>
        </row>
        <row r="343">
          <cell r="A343">
            <v>336</v>
          </cell>
          <cell r="B343" t="str">
            <v>West Oxfordshire</v>
          </cell>
          <cell r="C343" t="str">
            <v>E3135</v>
          </cell>
        </row>
        <row r="344">
          <cell r="A344">
            <v>337</v>
          </cell>
          <cell r="B344" t="str">
            <v>West Somerset</v>
          </cell>
          <cell r="C344" t="str">
            <v>E3335</v>
          </cell>
        </row>
        <row r="345">
          <cell r="A345">
            <v>338</v>
          </cell>
          <cell r="B345" t="str">
            <v>West Wiltshire</v>
          </cell>
          <cell r="C345" t="str">
            <v>E3935</v>
          </cell>
        </row>
        <row r="346">
          <cell r="A346">
            <v>339</v>
          </cell>
          <cell r="B346" t="str">
            <v>Westminster</v>
          </cell>
          <cell r="C346" t="str">
            <v>E5022</v>
          </cell>
        </row>
        <row r="347">
          <cell r="A347">
            <v>340</v>
          </cell>
          <cell r="B347" t="str">
            <v>Weymouth and Portland</v>
          </cell>
          <cell r="C347" t="str">
            <v>E1238</v>
          </cell>
        </row>
        <row r="348">
          <cell r="A348">
            <v>341</v>
          </cell>
          <cell r="B348" t="str">
            <v>Wigan</v>
          </cell>
          <cell r="C348" t="str">
            <v>E4210</v>
          </cell>
        </row>
        <row r="349">
          <cell r="A349">
            <v>342</v>
          </cell>
          <cell r="B349" t="str">
            <v>Winchester</v>
          </cell>
          <cell r="C349" t="str">
            <v>E1743</v>
          </cell>
        </row>
        <row r="350">
          <cell r="A350">
            <v>343</v>
          </cell>
          <cell r="B350" t="str">
            <v>Windsor and Maidenhead</v>
          </cell>
          <cell r="C350" t="str">
            <v>E0305</v>
          </cell>
        </row>
        <row r="351">
          <cell r="A351">
            <v>344</v>
          </cell>
          <cell r="B351" t="str">
            <v>Wirral</v>
          </cell>
          <cell r="C351" t="str">
            <v>E4305</v>
          </cell>
        </row>
        <row r="352">
          <cell r="A352">
            <v>345</v>
          </cell>
          <cell r="B352" t="str">
            <v>Woking</v>
          </cell>
          <cell r="C352" t="str">
            <v>E3641</v>
          </cell>
        </row>
        <row r="353">
          <cell r="A353">
            <v>346</v>
          </cell>
          <cell r="B353" t="str">
            <v>Wokingham</v>
          </cell>
          <cell r="C353" t="str">
            <v>E0306</v>
          </cell>
        </row>
        <row r="354">
          <cell r="A354">
            <v>347</v>
          </cell>
          <cell r="B354" t="str">
            <v>Wolverhampton</v>
          </cell>
          <cell r="C354" t="str">
            <v>E4607</v>
          </cell>
        </row>
        <row r="355">
          <cell r="A355">
            <v>348</v>
          </cell>
          <cell r="B355" t="str">
            <v>Worcester</v>
          </cell>
          <cell r="C355" t="str">
            <v>E1837</v>
          </cell>
        </row>
        <row r="356">
          <cell r="A356">
            <v>349</v>
          </cell>
          <cell r="B356" t="str">
            <v>Worthing</v>
          </cell>
          <cell r="C356" t="str">
            <v>E3837</v>
          </cell>
        </row>
        <row r="357">
          <cell r="A357">
            <v>350</v>
          </cell>
          <cell r="B357" t="str">
            <v>Wychavon</v>
          </cell>
          <cell r="C357" t="str">
            <v>E1838</v>
          </cell>
        </row>
        <row r="358">
          <cell r="A358">
            <v>351</v>
          </cell>
          <cell r="B358" t="str">
            <v>Wycombe</v>
          </cell>
          <cell r="C358" t="str">
            <v>E0435</v>
          </cell>
        </row>
        <row r="359">
          <cell r="A359">
            <v>352</v>
          </cell>
          <cell r="B359" t="str">
            <v>Wyre</v>
          </cell>
          <cell r="C359" t="str">
            <v>E2344</v>
          </cell>
        </row>
        <row r="360">
          <cell r="A360">
            <v>353</v>
          </cell>
          <cell r="B360" t="str">
            <v>Wyre Forest</v>
          </cell>
          <cell r="C360" t="str">
            <v>E1839</v>
          </cell>
        </row>
        <row r="361">
          <cell r="A361">
            <v>354</v>
          </cell>
          <cell r="B361" t="str">
            <v>York</v>
          </cell>
          <cell r="C361" t="str">
            <v>E2701</v>
          </cell>
        </row>
        <row r="362">
          <cell r="A362">
            <v>355</v>
          </cell>
          <cell r="B362" t="str">
            <v>ZZZZ</v>
          </cell>
          <cell r="C362" t="str">
            <v>EZZZZ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68"/>
  <sheetViews>
    <sheetView showGridLines="0" view="pageBreakPreview" zoomScale="60" workbookViewId="0" topLeftCell="A29">
      <selection activeCell="A2" sqref="A2"/>
    </sheetView>
  </sheetViews>
  <sheetFormatPr defaultColWidth="9.140625" defaultRowHeight="12.75"/>
  <cols>
    <col min="1" max="1" width="4.7109375" style="0" customWidth="1"/>
    <col min="2" max="2" width="9.7109375" style="0" customWidth="1"/>
    <col min="3" max="3" width="116.28125" style="0" customWidth="1"/>
    <col min="4" max="4" width="4.7109375" style="0" customWidth="1"/>
    <col min="5" max="9" width="14.28125" style="162" customWidth="1"/>
    <col min="10" max="29" width="9.140625" style="162" customWidth="1"/>
  </cols>
  <sheetData>
    <row r="1" spans="1:4" ht="4.5" customHeight="1">
      <c r="A1" s="7"/>
      <c r="B1" s="8"/>
      <c r="C1" s="8"/>
      <c r="D1" s="9"/>
    </row>
    <row r="2" spans="1:4" ht="12.75">
      <c r="A2" s="15"/>
      <c r="B2" s="10"/>
      <c r="C2" s="10"/>
      <c r="D2" s="11"/>
    </row>
    <row r="3" spans="1:4" ht="12.75">
      <c r="A3" s="15"/>
      <c r="B3" s="10"/>
      <c r="C3" s="10"/>
      <c r="D3" s="11"/>
    </row>
    <row r="4" spans="1:4" ht="12.75">
      <c r="A4" s="15"/>
      <c r="B4" s="10"/>
      <c r="C4" s="10"/>
      <c r="D4" s="11"/>
    </row>
    <row r="5" spans="1:4" ht="12.75">
      <c r="A5" s="15"/>
      <c r="B5" s="10"/>
      <c r="C5" s="10"/>
      <c r="D5" s="11"/>
    </row>
    <row r="6" spans="1:4" ht="12.75">
      <c r="A6" s="15"/>
      <c r="B6" s="10"/>
      <c r="C6" s="10"/>
      <c r="D6" s="11"/>
    </row>
    <row r="7" spans="1:4" ht="12.75">
      <c r="A7" s="15"/>
      <c r="B7" s="10"/>
      <c r="C7" s="10"/>
      <c r="D7" s="11"/>
    </row>
    <row r="8" spans="1:29" s="136" customFormat="1" ht="20.25">
      <c r="A8" s="137" t="s">
        <v>176</v>
      </c>
      <c r="B8" s="134"/>
      <c r="C8" s="134"/>
      <c r="D8" s="135"/>
      <c r="E8" s="163"/>
      <c r="F8" s="163"/>
      <c r="G8" s="163"/>
      <c r="H8" s="163"/>
      <c r="I8" s="163"/>
      <c r="J8" s="163"/>
      <c r="K8" s="163"/>
      <c r="L8" s="163"/>
      <c r="M8" s="163"/>
      <c r="N8" s="163"/>
      <c r="O8" s="163"/>
      <c r="P8" s="163"/>
      <c r="Q8" s="163"/>
      <c r="R8" s="163"/>
      <c r="S8" s="163"/>
      <c r="T8" s="163"/>
      <c r="U8" s="163"/>
      <c r="V8" s="163"/>
      <c r="W8" s="163"/>
      <c r="X8" s="163"/>
      <c r="Y8" s="163"/>
      <c r="Z8" s="163"/>
      <c r="AA8" s="163"/>
      <c r="AB8" s="163"/>
      <c r="AC8" s="163"/>
    </row>
    <row r="9" spans="1:4" ht="20.25">
      <c r="A9" s="664" t="s">
        <v>1101</v>
      </c>
      <c r="B9" s="665"/>
      <c r="C9" s="665"/>
      <c r="D9" s="666"/>
    </row>
    <row r="10" spans="1:29" s="140" customFormat="1" ht="15">
      <c r="A10" s="141"/>
      <c r="B10" s="142"/>
      <c r="C10" s="142"/>
      <c r="D10" s="143"/>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29" s="140" customFormat="1" ht="15.75">
      <c r="A11" s="667" t="s">
        <v>941</v>
      </c>
      <c r="B11" s="668"/>
      <c r="C11" s="668"/>
      <c r="D11" s="669"/>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row>
    <row r="12" spans="1:29" s="140" customFormat="1" ht="15.75">
      <c r="A12" s="144"/>
      <c r="B12" s="145"/>
      <c r="C12" s="145"/>
      <c r="D12" s="146"/>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row>
    <row r="13" spans="1:29" s="140" customFormat="1" ht="15.75">
      <c r="A13" s="677" t="s">
        <v>942</v>
      </c>
      <c r="B13" s="678"/>
      <c r="C13" s="678"/>
      <c r="D13" s="679"/>
      <c r="E13" s="148"/>
      <c r="F13" s="148"/>
      <c r="G13" s="148"/>
      <c r="H13" s="148"/>
      <c r="I13" s="148"/>
      <c r="J13" s="148"/>
      <c r="K13" s="148"/>
      <c r="L13" s="148"/>
      <c r="M13" s="148"/>
      <c r="N13" s="164"/>
      <c r="O13" s="164"/>
      <c r="P13" s="164"/>
      <c r="Q13" s="164"/>
      <c r="R13" s="164"/>
      <c r="S13" s="164"/>
      <c r="T13" s="164"/>
      <c r="U13" s="164"/>
      <c r="V13" s="164"/>
      <c r="W13" s="164"/>
      <c r="X13" s="164"/>
      <c r="Y13" s="164"/>
      <c r="Z13" s="164"/>
      <c r="AA13" s="164"/>
      <c r="AB13" s="164"/>
      <c r="AC13" s="164"/>
    </row>
    <row r="14" spans="1:29" s="140" customFormat="1" ht="15.75">
      <c r="A14" s="147"/>
      <c r="B14" s="145"/>
      <c r="C14" s="145"/>
      <c r="D14" s="146"/>
      <c r="E14" s="148"/>
      <c r="F14" s="148"/>
      <c r="G14" s="148"/>
      <c r="H14" s="148"/>
      <c r="I14" s="148"/>
      <c r="J14" s="148"/>
      <c r="K14" s="148"/>
      <c r="L14" s="148"/>
      <c r="M14" s="148"/>
      <c r="N14" s="164"/>
      <c r="O14" s="164"/>
      <c r="P14" s="164"/>
      <c r="Q14" s="164"/>
      <c r="R14" s="164"/>
      <c r="S14" s="164"/>
      <c r="T14" s="164"/>
      <c r="U14" s="164"/>
      <c r="V14" s="164"/>
      <c r="W14" s="164"/>
      <c r="X14" s="164"/>
      <c r="Y14" s="164"/>
      <c r="Z14" s="164"/>
      <c r="AA14" s="164"/>
      <c r="AB14" s="164"/>
      <c r="AC14" s="164"/>
    </row>
    <row r="15" spans="1:29" s="149" customFormat="1" ht="15.75">
      <c r="A15" s="667" t="s">
        <v>71</v>
      </c>
      <c r="B15" s="668"/>
      <c r="C15" s="668"/>
      <c r="D15" s="669"/>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row>
    <row r="16" spans="1:29" s="140" customFormat="1" ht="15.75" thickBot="1">
      <c r="A16" s="150"/>
      <c r="B16" s="151"/>
      <c r="C16" s="151"/>
      <c r="D16" s="165" t="s">
        <v>1102</v>
      </c>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row>
    <row r="17" spans="1:29" s="140" customFormat="1" ht="15.75" thickBot="1">
      <c r="A17" s="138"/>
      <c r="B17" s="138"/>
      <c r="C17" s="138"/>
      <c r="D17" s="138"/>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row>
    <row r="18" spans="1:29" s="140" customFormat="1" ht="15">
      <c r="A18" s="166"/>
      <c r="B18" s="139"/>
      <c r="C18" s="139"/>
      <c r="D18" s="167"/>
      <c r="E18" s="161"/>
      <c r="F18" s="161"/>
      <c r="G18" s="161"/>
      <c r="H18" s="161"/>
      <c r="I18" s="161"/>
      <c r="J18" s="161"/>
      <c r="K18" s="161"/>
      <c r="L18" s="161"/>
      <c r="M18" s="161"/>
      <c r="N18" s="161"/>
      <c r="O18" s="161"/>
      <c r="P18" s="164"/>
      <c r="Q18" s="164"/>
      <c r="R18" s="164"/>
      <c r="S18" s="164"/>
      <c r="T18" s="164"/>
      <c r="U18" s="164"/>
      <c r="V18" s="164"/>
      <c r="W18" s="164"/>
      <c r="X18" s="164"/>
      <c r="Y18" s="164"/>
      <c r="Z18" s="164"/>
      <c r="AA18" s="164"/>
      <c r="AB18" s="164"/>
      <c r="AC18" s="164"/>
    </row>
    <row r="19" spans="1:29" s="140" customFormat="1" ht="15.75">
      <c r="A19" s="172"/>
      <c r="B19" s="670" t="s">
        <v>72</v>
      </c>
      <c r="C19" s="670"/>
      <c r="D19" s="168"/>
      <c r="E19" s="160"/>
      <c r="F19" s="160"/>
      <c r="G19" s="160"/>
      <c r="H19" s="160"/>
      <c r="I19" s="160"/>
      <c r="J19" s="160"/>
      <c r="K19" s="160"/>
      <c r="L19" s="160"/>
      <c r="M19" s="160"/>
      <c r="N19" s="160"/>
      <c r="O19" s="160"/>
      <c r="P19" s="164"/>
      <c r="Q19" s="164"/>
      <c r="R19" s="164"/>
      <c r="S19" s="164"/>
      <c r="T19" s="164"/>
      <c r="U19" s="164"/>
      <c r="V19" s="164"/>
      <c r="W19" s="164"/>
      <c r="X19" s="164"/>
      <c r="Y19" s="164"/>
      <c r="Z19" s="164"/>
      <c r="AA19" s="164"/>
      <c r="AB19" s="164"/>
      <c r="AC19" s="164"/>
    </row>
    <row r="20" spans="1:29" s="140" customFormat="1" ht="15.75">
      <c r="A20" s="172"/>
      <c r="B20" s="671"/>
      <c r="C20" s="671"/>
      <c r="D20" s="168"/>
      <c r="E20" s="160"/>
      <c r="F20" s="160"/>
      <c r="G20" s="160"/>
      <c r="H20" s="160"/>
      <c r="I20" s="160"/>
      <c r="J20" s="160"/>
      <c r="K20" s="160"/>
      <c r="L20" s="160"/>
      <c r="M20" s="160"/>
      <c r="N20" s="160"/>
      <c r="O20" s="160"/>
      <c r="P20" s="164"/>
      <c r="Q20" s="164"/>
      <c r="R20" s="164"/>
      <c r="S20" s="164"/>
      <c r="T20" s="164"/>
      <c r="U20" s="164"/>
      <c r="V20" s="164"/>
      <c r="W20" s="164"/>
      <c r="X20" s="164"/>
      <c r="Y20" s="164"/>
      <c r="Z20" s="164"/>
      <c r="AA20" s="164"/>
      <c r="AB20" s="164"/>
      <c r="AC20" s="164"/>
    </row>
    <row r="21" spans="1:29" s="140" customFormat="1" ht="15.75">
      <c r="A21" s="172"/>
      <c r="B21" s="672"/>
      <c r="C21" s="672"/>
      <c r="D21" s="168"/>
      <c r="E21" s="160"/>
      <c r="F21" s="160"/>
      <c r="G21" s="160"/>
      <c r="H21" s="160"/>
      <c r="I21" s="160"/>
      <c r="J21" s="160"/>
      <c r="K21" s="160"/>
      <c r="L21" s="160"/>
      <c r="M21" s="160"/>
      <c r="N21" s="160"/>
      <c r="O21" s="160"/>
      <c r="P21" s="164"/>
      <c r="Q21" s="164"/>
      <c r="R21" s="164"/>
      <c r="S21" s="164"/>
      <c r="T21" s="164"/>
      <c r="U21" s="164"/>
      <c r="V21" s="164"/>
      <c r="W21" s="164"/>
      <c r="X21" s="164"/>
      <c r="Y21" s="164"/>
      <c r="Z21" s="164"/>
      <c r="AA21" s="164"/>
      <c r="AB21" s="164"/>
      <c r="AC21" s="164"/>
    </row>
    <row r="22" spans="1:29" s="140" customFormat="1" ht="16.5" thickBot="1">
      <c r="A22" s="178"/>
      <c r="B22" s="179"/>
      <c r="C22" s="179"/>
      <c r="D22" s="180"/>
      <c r="E22" s="160"/>
      <c r="F22" s="160"/>
      <c r="G22" s="160"/>
      <c r="H22" s="160"/>
      <c r="I22" s="160"/>
      <c r="J22" s="160"/>
      <c r="K22" s="160"/>
      <c r="L22" s="160"/>
      <c r="M22" s="160"/>
      <c r="N22" s="160"/>
      <c r="O22" s="160"/>
      <c r="P22" s="164"/>
      <c r="Q22" s="164"/>
      <c r="R22" s="164"/>
      <c r="S22" s="164"/>
      <c r="T22" s="164"/>
      <c r="U22" s="164"/>
      <c r="V22" s="164"/>
      <c r="W22" s="164"/>
      <c r="X22" s="164"/>
      <c r="Y22" s="164"/>
      <c r="Z22" s="164"/>
      <c r="AA22" s="164"/>
      <c r="AB22" s="164"/>
      <c r="AC22" s="164"/>
    </row>
    <row r="23" spans="1:29" s="140" customFormat="1" ht="15.75">
      <c r="A23" s="173"/>
      <c r="B23" s="152"/>
      <c r="C23" s="152"/>
      <c r="D23" s="169"/>
      <c r="E23" s="152"/>
      <c r="F23" s="152"/>
      <c r="G23" s="152"/>
      <c r="H23" s="152"/>
      <c r="I23" s="152"/>
      <c r="J23" s="152"/>
      <c r="K23" s="152"/>
      <c r="L23" s="152"/>
      <c r="M23" s="152"/>
      <c r="N23" s="152"/>
      <c r="O23" s="160"/>
      <c r="P23" s="164"/>
      <c r="Q23" s="164"/>
      <c r="R23" s="164"/>
      <c r="S23" s="164"/>
      <c r="T23" s="164"/>
      <c r="U23" s="164"/>
      <c r="V23" s="164"/>
      <c r="W23" s="164"/>
      <c r="X23" s="164"/>
      <c r="Y23" s="164"/>
      <c r="Z23" s="164"/>
      <c r="AA23" s="164"/>
      <c r="AB23" s="164"/>
      <c r="AC23" s="164"/>
    </row>
    <row r="24" spans="1:29" s="140" customFormat="1" ht="15.75">
      <c r="A24" s="173"/>
      <c r="B24" s="153" t="s">
        <v>861</v>
      </c>
      <c r="C24" s="154"/>
      <c r="D24" s="170"/>
      <c r="E24" s="154"/>
      <c r="F24" s="154"/>
      <c r="G24" s="154"/>
      <c r="H24" s="154"/>
      <c r="I24" s="154"/>
      <c r="J24" s="154"/>
      <c r="K24" s="154"/>
      <c r="L24" s="154"/>
      <c r="M24" s="154"/>
      <c r="N24" s="154"/>
      <c r="O24" s="161"/>
      <c r="P24" s="164"/>
      <c r="Q24" s="164"/>
      <c r="R24" s="164"/>
      <c r="S24" s="164"/>
      <c r="T24" s="164"/>
      <c r="U24" s="164"/>
      <c r="V24" s="164"/>
      <c r="W24" s="164"/>
      <c r="X24" s="164"/>
      <c r="Y24" s="164"/>
      <c r="Z24" s="164"/>
      <c r="AA24" s="164"/>
      <c r="AB24" s="164"/>
      <c r="AC24" s="164"/>
    </row>
    <row r="25" spans="1:29" s="140" customFormat="1" ht="15">
      <c r="A25" s="173"/>
      <c r="B25" s="154"/>
      <c r="C25" s="154"/>
      <c r="D25" s="170"/>
      <c r="E25" s="154"/>
      <c r="F25" s="154"/>
      <c r="G25" s="154"/>
      <c r="H25" s="154"/>
      <c r="I25" s="154"/>
      <c r="J25" s="154"/>
      <c r="K25" s="154"/>
      <c r="L25" s="154"/>
      <c r="M25" s="154"/>
      <c r="N25" s="154"/>
      <c r="O25" s="161"/>
      <c r="P25" s="164"/>
      <c r="Q25" s="164"/>
      <c r="R25" s="164"/>
      <c r="S25" s="164"/>
      <c r="T25" s="164"/>
      <c r="U25" s="164"/>
      <c r="V25" s="164"/>
      <c r="W25" s="164"/>
      <c r="X25" s="164"/>
      <c r="Y25" s="164"/>
      <c r="Z25" s="164"/>
      <c r="AA25" s="164"/>
      <c r="AB25" s="164"/>
      <c r="AC25" s="164"/>
    </row>
    <row r="26" spans="1:29" s="140" customFormat="1" ht="15">
      <c r="A26" s="173"/>
      <c r="B26" s="154" t="s">
        <v>975</v>
      </c>
      <c r="C26" s="154"/>
      <c r="D26" s="170"/>
      <c r="E26" s="154"/>
      <c r="F26" s="154"/>
      <c r="G26" s="154"/>
      <c r="H26" s="154"/>
      <c r="I26" s="154"/>
      <c r="J26" s="154"/>
      <c r="K26" s="154"/>
      <c r="L26" s="154"/>
      <c r="M26" s="154"/>
      <c r="N26" s="154"/>
      <c r="O26" s="161"/>
      <c r="P26" s="164"/>
      <c r="Q26" s="164"/>
      <c r="R26" s="164"/>
      <c r="S26" s="164"/>
      <c r="T26" s="164"/>
      <c r="U26" s="164"/>
      <c r="V26" s="164"/>
      <c r="W26" s="164"/>
      <c r="X26" s="164"/>
      <c r="Y26" s="164"/>
      <c r="Z26" s="164"/>
      <c r="AA26" s="164"/>
      <c r="AB26" s="164"/>
      <c r="AC26" s="164"/>
    </row>
    <row r="27" spans="1:29" s="140" customFormat="1" ht="15">
      <c r="A27" s="173"/>
      <c r="B27" s="154" t="s">
        <v>943</v>
      </c>
      <c r="C27" s="154"/>
      <c r="D27" s="170"/>
      <c r="E27" s="154"/>
      <c r="F27" s="154"/>
      <c r="G27" s="154"/>
      <c r="H27" s="154"/>
      <c r="I27" s="154"/>
      <c r="J27" s="154"/>
      <c r="K27" s="154"/>
      <c r="L27" s="154"/>
      <c r="M27" s="154"/>
      <c r="N27" s="154"/>
      <c r="O27" s="161"/>
      <c r="P27" s="164"/>
      <c r="Q27" s="164"/>
      <c r="R27" s="164"/>
      <c r="S27" s="164"/>
      <c r="T27" s="164"/>
      <c r="U27" s="164"/>
      <c r="V27" s="164"/>
      <c r="W27" s="164"/>
      <c r="X27" s="164"/>
      <c r="Y27" s="164"/>
      <c r="Z27" s="164"/>
      <c r="AA27" s="164"/>
      <c r="AB27" s="164"/>
      <c r="AC27" s="164"/>
    </row>
    <row r="28" spans="1:29" s="140" customFormat="1" ht="15">
      <c r="A28" s="173"/>
      <c r="B28" s="154"/>
      <c r="C28" s="154"/>
      <c r="D28" s="170"/>
      <c r="E28" s="154"/>
      <c r="F28" s="154"/>
      <c r="G28" s="154"/>
      <c r="H28" s="154"/>
      <c r="I28" s="154"/>
      <c r="J28" s="154"/>
      <c r="K28" s="154"/>
      <c r="L28" s="154"/>
      <c r="M28" s="154"/>
      <c r="N28" s="154"/>
      <c r="O28" s="161"/>
      <c r="P28" s="164"/>
      <c r="Q28" s="164"/>
      <c r="R28" s="164"/>
      <c r="S28" s="164"/>
      <c r="T28" s="164"/>
      <c r="U28" s="164"/>
      <c r="V28" s="164"/>
      <c r="W28" s="164"/>
      <c r="X28" s="164"/>
      <c r="Y28" s="164"/>
      <c r="Z28" s="164"/>
      <c r="AA28" s="164"/>
      <c r="AB28" s="164"/>
      <c r="AC28" s="164"/>
    </row>
    <row r="29" spans="1:29" s="140" customFormat="1" ht="15">
      <c r="A29" s="173"/>
      <c r="B29" s="154" t="s">
        <v>976</v>
      </c>
      <c r="C29" s="154"/>
      <c r="D29" s="170"/>
      <c r="E29" s="154"/>
      <c r="F29" s="154"/>
      <c r="G29" s="154"/>
      <c r="H29" s="154"/>
      <c r="I29" s="154"/>
      <c r="J29" s="154"/>
      <c r="K29" s="154"/>
      <c r="L29" s="154"/>
      <c r="M29" s="154"/>
      <c r="N29" s="154"/>
      <c r="O29" s="161"/>
      <c r="P29" s="164"/>
      <c r="Q29" s="164"/>
      <c r="R29" s="164"/>
      <c r="S29" s="164"/>
      <c r="T29" s="164"/>
      <c r="U29" s="164"/>
      <c r="V29" s="164"/>
      <c r="W29" s="164"/>
      <c r="X29" s="164"/>
      <c r="Y29" s="164"/>
      <c r="Z29" s="164"/>
      <c r="AA29" s="164"/>
      <c r="AB29" s="164"/>
      <c r="AC29" s="164"/>
    </row>
    <row r="30" spans="1:29" s="140" customFormat="1" ht="15.75" thickBot="1">
      <c r="A30" s="173"/>
      <c r="B30" s="154"/>
      <c r="C30" s="154"/>
      <c r="D30" s="170"/>
      <c r="E30" s="154"/>
      <c r="F30" s="154"/>
      <c r="G30" s="154"/>
      <c r="H30" s="154"/>
      <c r="I30" s="154"/>
      <c r="J30" s="154"/>
      <c r="K30" s="154"/>
      <c r="L30" s="154"/>
      <c r="M30" s="154"/>
      <c r="N30" s="154"/>
      <c r="O30" s="161"/>
      <c r="P30" s="164"/>
      <c r="Q30" s="164"/>
      <c r="R30" s="164"/>
      <c r="S30" s="164"/>
      <c r="T30" s="164"/>
      <c r="U30" s="164"/>
      <c r="V30" s="164"/>
      <c r="W30" s="164"/>
      <c r="X30" s="164"/>
      <c r="Y30" s="164"/>
      <c r="Z30" s="164"/>
      <c r="AA30" s="164"/>
      <c r="AB30" s="164"/>
      <c r="AC30" s="164"/>
    </row>
    <row r="31" spans="1:29" s="140" customFormat="1" ht="16.5" thickBot="1" thickTop="1">
      <c r="A31" s="173"/>
      <c r="B31" s="174"/>
      <c r="C31" s="680" t="s">
        <v>1011</v>
      </c>
      <c r="D31" s="170"/>
      <c r="E31" s="154"/>
      <c r="F31" s="154"/>
      <c r="G31" s="154"/>
      <c r="H31" s="154"/>
      <c r="I31" s="154"/>
      <c r="J31" s="154"/>
      <c r="K31" s="154"/>
      <c r="L31" s="154"/>
      <c r="M31" s="154"/>
      <c r="N31" s="154"/>
      <c r="O31" s="161"/>
      <c r="P31" s="164"/>
      <c r="Q31" s="164"/>
      <c r="R31" s="164"/>
      <c r="S31" s="164"/>
      <c r="T31" s="164"/>
      <c r="U31" s="164"/>
      <c r="V31" s="164"/>
      <c r="W31" s="164"/>
      <c r="X31" s="164"/>
      <c r="Y31" s="164"/>
      <c r="Z31" s="164"/>
      <c r="AA31" s="164"/>
      <c r="AB31" s="164"/>
      <c r="AC31" s="164"/>
    </row>
    <row r="32" spans="1:29" s="140" customFormat="1" ht="15.75" thickTop="1">
      <c r="A32" s="173"/>
      <c r="B32" s="175"/>
      <c r="C32" s="681"/>
      <c r="D32" s="170"/>
      <c r="E32" s="154"/>
      <c r="F32" s="154"/>
      <c r="G32" s="154"/>
      <c r="H32" s="154"/>
      <c r="I32" s="154"/>
      <c r="J32" s="154"/>
      <c r="K32" s="154"/>
      <c r="L32" s="154"/>
      <c r="M32" s="154"/>
      <c r="N32" s="154"/>
      <c r="O32" s="161"/>
      <c r="P32" s="164"/>
      <c r="Q32" s="164"/>
      <c r="R32" s="164"/>
      <c r="S32" s="164"/>
      <c r="T32" s="164"/>
      <c r="U32" s="164"/>
      <c r="V32" s="164"/>
      <c r="W32" s="164"/>
      <c r="X32" s="164"/>
      <c r="Y32" s="164"/>
      <c r="Z32" s="164"/>
      <c r="AA32" s="164"/>
      <c r="AB32" s="164"/>
      <c r="AC32" s="164"/>
    </row>
    <row r="33" spans="1:29" s="140" customFormat="1" ht="15.75" thickBot="1">
      <c r="A33" s="173"/>
      <c r="B33" s="175"/>
      <c r="C33" s="158"/>
      <c r="D33" s="170"/>
      <c r="E33" s="154"/>
      <c r="F33" s="154"/>
      <c r="G33" s="154"/>
      <c r="H33" s="154"/>
      <c r="I33" s="154"/>
      <c r="J33" s="154"/>
      <c r="K33" s="154"/>
      <c r="L33" s="154"/>
      <c r="M33" s="154"/>
      <c r="N33" s="154"/>
      <c r="O33" s="161"/>
      <c r="P33" s="164"/>
      <c r="Q33" s="164"/>
      <c r="R33" s="164"/>
      <c r="S33" s="164"/>
      <c r="T33" s="164"/>
      <c r="U33" s="164"/>
      <c r="V33" s="164"/>
      <c r="W33" s="164"/>
      <c r="X33" s="164"/>
      <c r="Y33" s="164"/>
      <c r="Z33" s="164"/>
      <c r="AA33" s="164"/>
      <c r="AB33" s="164"/>
      <c r="AC33" s="164"/>
    </row>
    <row r="34" spans="1:29" s="140" customFormat="1" ht="16.5" thickBot="1" thickTop="1">
      <c r="A34" s="173"/>
      <c r="B34" s="510"/>
      <c r="C34" s="680" t="s">
        <v>1010</v>
      </c>
      <c r="D34" s="170"/>
      <c r="E34" s="154"/>
      <c r="F34" s="154"/>
      <c r="G34" s="154"/>
      <c r="H34" s="154"/>
      <c r="I34" s="154"/>
      <c r="J34" s="154"/>
      <c r="K34" s="154"/>
      <c r="L34" s="154"/>
      <c r="M34" s="154"/>
      <c r="N34" s="154"/>
      <c r="O34" s="161"/>
      <c r="P34" s="164"/>
      <c r="Q34" s="164"/>
      <c r="R34" s="164"/>
      <c r="S34" s="164"/>
      <c r="T34" s="164"/>
      <c r="U34" s="164"/>
      <c r="V34" s="164"/>
      <c r="W34" s="164"/>
      <c r="X34" s="164"/>
      <c r="Y34" s="164"/>
      <c r="Z34" s="164"/>
      <c r="AA34" s="164"/>
      <c r="AB34" s="164"/>
      <c r="AC34" s="164"/>
    </row>
    <row r="35" spans="1:29" s="140" customFormat="1" ht="15.75" thickTop="1">
      <c r="A35" s="173"/>
      <c r="B35" s="175"/>
      <c r="C35" s="682"/>
      <c r="D35" s="170"/>
      <c r="E35" s="154"/>
      <c r="F35" s="154"/>
      <c r="G35" s="154"/>
      <c r="H35" s="154"/>
      <c r="I35" s="154"/>
      <c r="J35" s="154"/>
      <c r="K35" s="154"/>
      <c r="L35" s="154"/>
      <c r="M35" s="154"/>
      <c r="N35" s="154"/>
      <c r="O35" s="161"/>
      <c r="P35" s="164"/>
      <c r="Q35" s="164"/>
      <c r="R35" s="164"/>
      <c r="S35" s="164"/>
      <c r="T35" s="164"/>
      <c r="U35" s="164"/>
      <c r="V35" s="164"/>
      <c r="W35" s="164"/>
      <c r="X35" s="164"/>
      <c r="Y35" s="164"/>
      <c r="Z35" s="164"/>
      <c r="AA35" s="164"/>
      <c r="AB35" s="164"/>
      <c r="AC35" s="164"/>
    </row>
    <row r="36" spans="1:29" s="140" customFormat="1" ht="15.75" thickBot="1">
      <c r="A36" s="173"/>
      <c r="B36" s="175"/>
      <c r="C36" s="155"/>
      <c r="D36" s="170"/>
      <c r="E36" s="154"/>
      <c r="F36" s="154"/>
      <c r="G36" s="154"/>
      <c r="H36" s="154"/>
      <c r="I36" s="154"/>
      <c r="J36" s="154"/>
      <c r="K36" s="154"/>
      <c r="L36" s="154"/>
      <c r="M36" s="154"/>
      <c r="N36" s="154"/>
      <c r="O36" s="161"/>
      <c r="P36" s="164"/>
      <c r="Q36" s="164"/>
      <c r="R36" s="164"/>
      <c r="S36" s="164"/>
      <c r="T36" s="164"/>
      <c r="U36" s="164"/>
      <c r="V36" s="164"/>
      <c r="W36" s="164"/>
      <c r="X36" s="164"/>
      <c r="Y36" s="164"/>
      <c r="Z36" s="164"/>
      <c r="AA36" s="164"/>
      <c r="AB36" s="164"/>
      <c r="AC36" s="164"/>
    </row>
    <row r="37" spans="1:29" s="140" customFormat="1" ht="16.5" thickBot="1" thickTop="1">
      <c r="A37" s="173"/>
      <c r="B37" s="176"/>
      <c r="C37" s="159" t="s">
        <v>1103</v>
      </c>
      <c r="D37" s="170"/>
      <c r="E37" s="154"/>
      <c r="F37" s="154"/>
      <c r="G37" s="154"/>
      <c r="H37" s="154"/>
      <c r="I37" s="154"/>
      <c r="J37" s="154"/>
      <c r="K37" s="154"/>
      <c r="L37" s="154"/>
      <c r="M37" s="154"/>
      <c r="N37" s="154"/>
      <c r="O37" s="161"/>
      <c r="P37" s="164"/>
      <c r="Q37" s="164"/>
      <c r="R37" s="164"/>
      <c r="S37" s="164"/>
      <c r="T37" s="164"/>
      <c r="U37" s="164"/>
      <c r="V37" s="164"/>
      <c r="W37" s="164"/>
      <c r="X37" s="164"/>
      <c r="Y37" s="164"/>
      <c r="Z37" s="164"/>
      <c r="AA37" s="164"/>
      <c r="AB37" s="164"/>
      <c r="AC37" s="164"/>
    </row>
    <row r="38" spans="1:29" s="140" customFormat="1" ht="16.5" thickTop="1">
      <c r="A38" s="173"/>
      <c r="B38" s="156"/>
      <c r="C38" s="154"/>
      <c r="D38" s="170"/>
      <c r="E38" s="154"/>
      <c r="F38" s="154"/>
      <c r="G38" s="154"/>
      <c r="H38" s="154"/>
      <c r="I38" s="154"/>
      <c r="J38" s="154"/>
      <c r="K38" s="154"/>
      <c r="L38" s="154"/>
      <c r="M38" s="154"/>
      <c r="N38" s="154"/>
      <c r="O38" s="161"/>
      <c r="P38" s="164"/>
      <c r="Q38" s="164"/>
      <c r="R38" s="164"/>
      <c r="S38" s="164"/>
      <c r="T38" s="164"/>
      <c r="U38" s="164"/>
      <c r="V38" s="164"/>
      <c r="W38" s="164"/>
      <c r="X38" s="164"/>
      <c r="Y38" s="164"/>
      <c r="Z38" s="164"/>
      <c r="AA38" s="164"/>
      <c r="AB38" s="164"/>
      <c r="AC38" s="164"/>
    </row>
    <row r="39" spans="1:29" s="140" customFormat="1" ht="15.75">
      <c r="A39" s="173"/>
      <c r="B39" s="153" t="s">
        <v>863</v>
      </c>
      <c r="C39" s="154"/>
      <c r="D39" s="170"/>
      <c r="E39" s="154"/>
      <c r="F39" s="154"/>
      <c r="G39" s="154"/>
      <c r="H39" s="154"/>
      <c r="I39" s="154"/>
      <c r="J39" s="154"/>
      <c r="K39" s="154"/>
      <c r="L39" s="154"/>
      <c r="M39" s="154"/>
      <c r="N39" s="154"/>
      <c r="O39" s="161"/>
      <c r="P39" s="164"/>
      <c r="Q39" s="164"/>
      <c r="R39" s="164"/>
      <c r="S39" s="164"/>
      <c r="T39" s="164"/>
      <c r="U39" s="164"/>
      <c r="V39" s="164"/>
      <c r="W39" s="164"/>
      <c r="X39" s="164"/>
      <c r="Y39" s="164"/>
      <c r="Z39" s="164"/>
      <c r="AA39" s="164"/>
      <c r="AB39" s="164"/>
      <c r="AC39" s="164"/>
    </row>
    <row r="40" spans="1:29" s="140" customFormat="1" ht="15.75">
      <c r="A40" s="173"/>
      <c r="B40" s="153"/>
      <c r="C40" s="154"/>
      <c r="D40" s="170"/>
      <c r="E40" s="154"/>
      <c r="F40" s="154"/>
      <c r="G40" s="154"/>
      <c r="H40" s="154"/>
      <c r="I40" s="154"/>
      <c r="J40" s="154"/>
      <c r="K40" s="154"/>
      <c r="L40" s="154"/>
      <c r="M40" s="154"/>
      <c r="N40" s="154"/>
      <c r="O40" s="161"/>
      <c r="P40" s="164"/>
      <c r="Q40" s="164"/>
      <c r="R40" s="164"/>
      <c r="S40" s="164"/>
      <c r="T40" s="164"/>
      <c r="U40" s="164"/>
      <c r="V40" s="164"/>
      <c r="W40" s="164"/>
      <c r="X40" s="164"/>
      <c r="Y40" s="164"/>
      <c r="Z40" s="164"/>
      <c r="AA40" s="164"/>
      <c r="AB40" s="164"/>
      <c r="AC40" s="164"/>
    </row>
    <row r="41" spans="1:29" s="140" customFormat="1" ht="15">
      <c r="A41" s="173"/>
      <c r="B41" s="662" t="s">
        <v>77</v>
      </c>
      <c r="C41" s="663"/>
      <c r="D41" s="170"/>
      <c r="E41" s="154"/>
      <c r="F41" s="154"/>
      <c r="G41" s="154"/>
      <c r="H41" s="154"/>
      <c r="I41" s="154"/>
      <c r="J41" s="154"/>
      <c r="K41" s="154"/>
      <c r="L41" s="154"/>
      <c r="M41" s="154"/>
      <c r="N41" s="154"/>
      <c r="O41" s="161"/>
      <c r="P41" s="164"/>
      <c r="Q41" s="164"/>
      <c r="R41" s="164"/>
      <c r="S41" s="164"/>
      <c r="T41" s="164"/>
      <c r="U41" s="164"/>
      <c r="V41" s="164"/>
      <c r="W41" s="164"/>
      <c r="X41" s="164"/>
      <c r="Y41" s="164"/>
      <c r="Z41" s="164"/>
      <c r="AA41" s="164"/>
      <c r="AB41" s="164"/>
      <c r="AC41" s="164"/>
    </row>
    <row r="42" spans="1:29" s="140" customFormat="1" ht="15">
      <c r="A42" s="173"/>
      <c r="B42" s="663"/>
      <c r="C42" s="663"/>
      <c r="D42" s="170"/>
      <c r="E42" s="154"/>
      <c r="F42" s="154"/>
      <c r="G42" s="154"/>
      <c r="H42" s="154"/>
      <c r="I42" s="154"/>
      <c r="J42" s="154"/>
      <c r="K42" s="154"/>
      <c r="L42" s="154"/>
      <c r="M42" s="154"/>
      <c r="N42" s="154"/>
      <c r="O42" s="161"/>
      <c r="P42" s="164"/>
      <c r="Q42" s="164"/>
      <c r="R42" s="164"/>
      <c r="S42" s="164"/>
      <c r="T42" s="164"/>
      <c r="U42" s="164"/>
      <c r="V42" s="164"/>
      <c r="W42" s="164"/>
      <c r="X42" s="164"/>
      <c r="Y42" s="164"/>
      <c r="Z42" s="164"/>
      <c r="AA42" s="164"/>
      <c r="AB42" s="164"/>
      <c r="AC42" s="164"/>
    </row>
    <row r="43" spans="1:29" s="140" customFormat="1" ht="15">
      <c r="A43" s="173"/>
      <c r="B43" s="663"/>
      <c r="C43" s="663"/>
      <c r="D43" s="170"/>
      <c r="E43" s="154"/>
      <c r="F43" s="154"/>
      <c r="G43" s="154"/>
      <c r="H43" s="154"/>
      <c r="I43" s="154"/>
      <c r="J43" s="154"/>
      <c r="K43" s="154"/>
      <c r="L43" s="154"/>
      <c r="M43" s="154"/>
      <c r="N43" s="154"/>
      <c r="O43" s="161"/>
      <c r="P43" s="164"/>
      <c r="Q43" s="164"/>
      <c r="R43" s="164"/>
      <c r="S43" s="164"/>
      <c r="T43" s="164"/>
      <c r="U43" s="164"/>
      <c r="V43" s="164"/>
      <c r="W43" s="164"/>
      <c r="X43" s="164"/>
      <c r="Y43" s="164"/>
      <c r="Z43" s="164"/>
      <c r="AA43" s="164"/>
      <c r="AB43" s="164"/>
      <c r="AC43" s="164"/>
    </row>
    <row r="44" spans="1:29" s="140" customFormat="1" ht="15">
      <c r="A44" s="173"/>
      <c r="B44" s="663"/>
      <c r="C44" s="663"/>
      <c r="D44" s="170"/>
      <c r="E44" s="154"/>
      <c r="F44" s="154"/>
      <c r="G44" s="154"/>
      <c r="H44" s="154"/>
      <c r="I44" s="154"/>
      <c r="J44" s="154"/>
      <c r="K44" s="154"/>
      <c r="L44" s="154"/>
      <c r="M44" s="154"/>
      <c r="N44" s="154"/>
      <c r="O44" s="161"/>
      <c r="P44" s="164"/>
      <c r="Q44" s="164"/>
      <c r="R44" s="164"/>
      <c r="S44" s="164"/>
      <c r="T44" s="164"/>
      <c r="U44" s="164"/>
      <c r="V44" s="164"/>
      <c r="W44" s="164"/>
      <c r="X44" s="164"/>
      <c r="Y44" s="164"/>
      <c r="Z44" s="164"/>
      <c r="AA44" s="164"/>
      <c r="AB44" s="164"/>
      <c r="AC44" s="164"/>
    </row>
    <row r="45" spans="1:29" s="140" customFormat="1" ht="15">
      <c r="A45" s="173"/>
      <c r="B45" s="154"/>
      <c r="C45" s="154"/>
      <c r="D45" s="170"/>
      <c r="E45" s="154"/>
      <c r="F45" s="154"/>
      <c r="G45" s="154"/>
      <c r="H45" s="154"/>
      <c r="I45" s="154"/>
      <c r="J45" s="154"/>
      <c r="K45" s="154"/>
      <c r="L45" s="154"/>
      <c r="M45" s="154"/>
      <c r="N45" s="154"/>
      <c r="O45" s="161"/>
      <c r="P45" s="164"/>
      <c r="Q45" s="164"/>
      <c r="R45" s="164"/>
      <c r="S45" s="164"/>
      <c r="T45" s="164"/>
      <c r="U45" s="164"/>
      <c r="V45" s="164"/>
      <c r="W45" s="164"/>
      <c r="X45" s="164"/>
      <c r="Y45" s="164"/>
      <c r="Z45" s="164"/>
      <c r="AA45" s="164"/>
      <c r="AB45" s="164"/>
      <c r="AC45" s="164"/>
    </row>
    <row r="46" spans="1:29" s="140" customFormat="1" ht="15.75">
      <c r="A46" s="173"/>
      <c r="B46" s="153" t="s">
        <v>862</v>
      </c>
      <c r="C46" s="154"/>
      <c r="D46" s="170"/>
      <c r="E46" s="154"/>
      <c r="F46" s="154"/>
      <c r="G46" s="154"/>
      <c r="H46" s="154"/>
      <c r="I46" s="154"/>
      <c r="J46" s="154"/>
      <c r="K46" s="154"/>
      <c r="L46" s="154"/>
      <c r="M46" s="154"/>
      <c r="N46" s="154"/>
      <c r="O46" s="161"/>
      <c r="P46" s="164"/>
      <c r="Q46" s="164"/>
      <c r="R46" s="164"/>
      <c r="S46" s="164"/>
      <c r="T46" s="164"/>
      <c r="U46" s="164"/>
      <c r="V46" s="164"/>
      <c r="W46" s="164"/>
      <c r="X46" s="164"/>
      <c r="Y46" s="164"/>
      <c r="Z46" s="164"/>
      <c r="AA46" s="164"/>
      <c r="AB46" s="164"/>
      <c r="AC46" s="164"/>
    </row>
    <row r="47" spans="1:29" s="140" customFormat="1" ht="15.75">
      <c r="A47" s="173"/>
      <c r="B47" s="153"/>
      <c r="C47" s="154"/>
      <c r="D47" s="170"/>
      <c r="E47" s="154"/>
      <c r="F47" s="154"/>
      <c r="G47" s="154"/>
      <c r="H47" s="154"/>
      <c r="I47" s="154"/>
      <c r="J47" s="154"/>
      <c r="K47" s="154"/>
      <c r="L47" s="154"/>
      <c r="M47" s="154"/>
      <c r="N47" s="154"/>
      <c r="O47" s="161"/>
      <c r="P47" s="164"/>
      <c r="Q47" s="164"/>
      <c r="R47" s="164"/>
      <c r="S47" s="164"/>
      <c r="T47" s="164"/>
      <c r="U47" s="164"/>
      <c r="V47" s="164"/>
      <c r="W47" s="164"/>
      <c r="X47" s="164"/>
      <c r="Y47" s="164"/>
      <c r="Z47" s="164"/>
      <c r="AA47" s="164"/>
      <c r="AB47" s="164"/>
      <c r="AC47" s="164"/>
    </row>
    <row r="48" spans="1:29" s="140" customFormat="1" ht="15">
      <c r="A48" s="173"/>
      <c r="B48" s="154" t="s">
        <v>977</v>
      </c>
      <c r="C48" s="154"/>
      <c r="D48" s="170"/>
      <c r="E48" s="154"/>
      <c r="F48" s="154"/>
      <c r="G48" s="154"/>
      <c r="H48" s="154"/>
      <c r="I48" s="154"/>
      <c r="J48" s="154"/>
      <c r="K48" s="154"/>
      <c r="L48" s="154"/>
      <c r="M48" s="154"/>
      <c r="N48" s="154"/>
      <c r="O48" s="161"/>
      <c r="P48" s="164"/>
      <c r="Q48" s="164"/>
      <c r="R48" s="164"/>
      <c r="S48" s="164"/>
      <c r="T48" s="164"/>
      <c r="U48" s="164"/>
      <c r="V48" s="164"/>
      <c r="W48" s="164"/>
      <c r="X48" s="164"/>
      <c r="Y48" s="164"/>
      <c r="Z48" s="164"/>
      <c r="AA48" s="164"/>
      <c r="AB48" s="164"/>
      <c r="AC48" s="164"/>
    </row>
    <row r="49" spans="1:29" s="140" customFormat="1" ht="15">
      <c r="A49" s="173"/>
      <c r="B49" s="154"/>
      <c r="C49" s="154"/>
      <c r="D49" s="170"/>
      <c r="E49" s="154"/>
      <c r="F49" s="154"/>
      <c r="G49" s="154"/>
      <c r="H49" s="154"/>
      <c r="I49" s="154"/>
      <c r="J49" s="154"/>
      <c r="K49" s="154"/>
      <c r="L49" s="154"/>
      <c r="M49" s="154"/>
      <c r="N49" s="154"/>
      <c r="O49" s="161"/>
      <c r="P49" s="164"/>
      <c r="Q49" s="164"/>
      <c r="R49" s="164"/>
      <c r="S49" s="164"/>
      <c r="T49" s="164"/>
      <c r="U49" s="164"/>
      <c r="V49" s="164"/>
      <c r="W49" s="164"/>
      <c r="X49" s="164"/>
      <c r="Y49" s="164"/>
      <c r="Z49" s="164"/>
      <c r="AA49" s="164"/>
      <c r="AB49" s="164"/>
      <c r="AC49" s="164"/>
    </row>
    <row r="50" spans="1:29" s="140" customFormat="1" ht="15">
      <c r="A50" s="173"/>
      <c r="B50" s="674" t="s">
        <v>978</v>
      </c>
      <c r="C50" s="675"/>
      <c r="D50" s="170"/>
      <c r="E50" s="154"/>
      <c r="F50" s="154"/>
      <c r="G50" s="154"/>
      <c r="H50" s="154"/>
      <c r="I50" s="154"/>
      <c r="J50" s="154"/>
      <c r="K50" s="154"/>
      <c r="L50" s="154"/>
      <c r="M50" s="154"/>
      <c r="N50" s="154"/>
      <c r="O50" s="161"/>
      <c r="P50" s="164"/>
      <c r="Q50" s="164"/>
      <c r="R50" s="164"/>
      <c r="S50" s="164"/>
      <c r="T50" s="164"/>
      <c r="U50" s="164"/>
      <c r="V50" s="164"/>
      <c r="W50" s="164"/>
      <c r="X50" s="164"/>
      <c r="Y50" s="164"/>
      <c r="Z50" s="164"/>
      <c r="AA50" s="164"/>
      <c r="AB50" s="164"/>
      <c r="AC50" s="164"/>
    </row>
    <row r="51" spans="1:29" s="140" customFormat="1" ht="15">
      <c r="A51" s="173"/>
      <c r="B51" s="675"/>
      <c r="C51" s="675"/>
      <c r="D51" s="170"/>
      <c r="E51" s="154"/>
      <c r="F51" s="154"/>
      <c r="G51" s="154"/>
      <c r="H51" s="154"/>
      <c r="I51" s="154"/>
      <c r="J51" s="154"/>
      <c r="K51" s="154"/>
      <c r="L51" s="154"/>
      <c r="M51" s="154"/>
      <c r="N51" s="154"/>
      <c r="O51" s="161"/>
      <c r="P51" s="164"/>
      <c r="Q51" s="164"/>
      <c r="R51" s="164"/>
      <c r="S51" s="164"/>
      <c r="T51" s="164"/>
      <c r="U51" s="164"/>
      <c r="V51" s="164"/>
      <c r="W51" s="164"/>
      <c r="X51" s="164"/>
      <c r="Y51" s="164"/>
      <c r="Z51" s="164"/>
      <c r="AA51" s="164"/>
      <c r="AB51" s="164"/>
      <c r="AC51" s="164"/>
    </row>
    <row r="52" spans="1:29" s="140" customFormat="1" ht="15">
      <c r="A52" s="173"/>
      <c r="B52" s="583"/>
      <c r="C52" s="583"/>
      <c r="D52" s="170"/>
      <c r="E52" s="154"/>
      <c r="F52" s="154"/>
      <c r="G52" s="154"/>
      <c r="H52" s="154"/>
      <c r="I52" s="154"/>
      <c r="J52" s="154"/>
      <c r="K52" s="154"/>
      <c r="L52" s="154"/>
      <c r="M52" s="154"/>
      <c r="N52" s="154"/>
      <c r="O52" s="161"/>
      <c r="P52" s="164"/>
      <c r="Q52" s="164"/>
      <c r="R52" s="164"/>
      <c r="S52" s="164"/>
      <c r="T52" s="164"/>
      <c r="U52" s="164"/>
      <c r="V52" s="164"/>
      <c r="W52" s="164"/>
      <c r="X52" s="164"/>
      <c r="Y52" s="164"/>
      <c r="Z52" s="164"/>
      <c r="AA52" s="164"/>
      <c r="AB52" s="164"/>
      <c r="AC52" s="164"/>
    </row>
    <row r="53" spans="1:29" s="140" customFormat="1" ht="15">
      <c r="A53" s="173"/>
      <c r="B53" s="676" t="s">
        <v>1104</v>
      </c>
      <c r="C53" s="675"/>
      <c r="D53" s="170"/>
      <c r="E53" s="154"/>
      <c r="F53" s="154"/>
      <c r="G53" s="154"/>
      <c r="H53" s="154"/>
      <c r="I53" s="154"/>
      <c r="J53" s="154"/>
      <c r="K53" s="154"/>
      <c r="L53" s="154"/>
      <c r="M53" s="154"/>
      <c r="N53" s="154"/>
      <c r="O53" s="161"/>
      <c r="P53" s="164"/>
      <c r="Q53" s="164"/>
      <c r="R53" s="164"/>
      <c r="S53" s="164"/>
      <c r="T53" s="164"/>
      <c r="U53" s="164"/>
      <c r="V53" s="164"/>
      <c r="W53" s="164"/>
      <c r="X53" s="164"/>
      <c r="Y53" s="164"/>
      <c r="Z53" s="164"/>
      <c r="AA53" s="164"/>
      <c r="AB53" s="164"/>
      <c r="AC53" s="164"/>
    </row>
    <row r="54" spans="1:29" s="140" customFormat="1" ht="15">
      <c r="A54" s="173"/>
      <c r="B54" s="675"/>
      <c r="C54" s="675"/>
      <c r="D54" s="170"/>
      <c r="E54" s="154"/>
      <c r="F54" s="154"/>
      <c r="G54" s="154"/>
      <c r="H54" s="154"/>
      <c r="I54" s="154"/>
      <c r="J54" s="154"/>
      <c r="K54" s="154"/>
      <c r="L54" s="154"/>
      <c r="M54" s="154"/>
      <c r="N54" s="154"/>
      <c r="O54" s="161"/>
      <c r="P54" s="164"/>
      <c r="Q54" s="164"/>
      <c r="R54" s="164"/>
      <c r="S54" s="164"/>
      <c r="T54" s="164"/>
      <c r="U54" s="164"/>
      <c r="V54" s="164"/>
      <c r="W54" s="164"/>
      <c r="X54" s="164"/>
      <c r="Y54" s="164"/>
      <c r="Z54" s="164"/>
      <c r="AA54" s="164"/>
      <c r="AB54" s="164"/>
      <c r="AC54" s="164"/>
    </row>
    <row r="55" spans="1:29" s="140" customFormat="1" ht="15.75">
      <c r="A55" s="173"/>
      <c r="B55" s="156"/>
      <c r="C55" s="154"/>
      <c r="D55" s="170"/>
      <c r="E55" s="154"/>
      <c r="F55" s="154"/>
      <c r="G55" s="154"/>
      <c r="H55" s="154"/>
      <c r="I55" s="154"/>
      <c r="J55" s="154"/>
      <c r="K55" s="154"/>
      <c r="L55" s="154"/>
      <c r="M55" s="154"/>
      <c r="N55" s="154"/>
      <c r="O55" s="161"/>
      <c r="P55" s="164"/>
      <c r="Q55" s="164"/>
      <c r="R55" s="164"/>
      <c r="S55" s="164"/>
      <c r="T55" s="164"/>
      <c r="U55" s="164"/>
      <c r="V55" s="164"/>
      <c r="W55" s="164"/>
      <c r="X55" s="164"/>
      <c r="Y55" s="164"/>
      <c r="Z55" s="164"/>
      <c r="AA55" s="164"/>
      <c r="AB55" s="164"/>
      <c r="AC55" s="164"/>
    </row>
    <row r="56" spans="1:29" s="140" customFormat="1" ht="15">
      <c r="A56" s="173"/>
      <c r="B56" s="673" t="s">
        <v>979</v>
      </c>
      <c r="C56" s="673"/>
      <c r="D56" s="170"/>
      <c r="E56" s="154"/>
      <c r="F56" s="154"/>
      <c r="G56" s="154"/>
      <c r="H56" s="154"/>
      <c r="I56" s="154"/>
      <c r="J56" s="154"/>
      <c r="K56" s="154"/>
      <c r="L56" s="154"/>
      <c r="M56" s="154"/>
      <c r="N56" s="154"/>
      <c r="O56" s="161"/>
      <c r="P56" s="164"/>
      <c r="Q56" s="164"/>
      <c r="R56" s="164"/>
      <c r="S56" s="164"/>
      <c r="T56" s="164"/>
      <c r="U56" s="164"/>
      <c r="V56" s="164"/>
      <c r="W56" s="164"/>
      <c r="X56" s="164"/>
      <c r="Y56" s="164"/>
      <c r="Z56" s="164"/>
      <c r="AA56" s="164"/>
      <c r="AB56" s="164"/>
      <c r="AC56" s="164"/>
    </row>
    <row r="57" spans="1:29" s="140" customFormat="1" ht="15">
      <c r="A57" s="173"/>
      <c r="B57" s="673"/>
      <c r="C57" s="673"/>
      <c r="D57" s="170"/>
      <c r="E57" s="154"/>
      <c r="F57" s="154"/>
      <c r="G57" s="154"/>
      <c r="H57" s="154"/>
      <c r="I57" s="154"/>
      <c r="J57" s="154"/>
      <c r="K57" s="154"/>
      <c r="L57" s="154"/>
      <c r="M57" s="154"/>
      <c r="N57" s="154"/>
      <c r="O57" s="161"/>
      <c r="P57" s="164"/>
      <c r="Q57" s="164"/>
      <c r="R57" s="164"/>
      <c r="S57" s="164"/>
      <c r="T57" s="164"/>
      <c r="U57" s="164"/>
      <c r="V57" s="164"/>
      <c r="W57" s="164"/>
      <c r="X57" s="164"/>
      <c r="Y57" s="164"/>
      <c r="Z57" s="164"/>
      <c r="AA57" s="164"/>
      <c r="AB57" s="164"/>
      <c r="AC57" s="164"/>
    </row>
    <row r="58" spans="1:29" s="140" customFormat="1" ht="15.75" thickBot="1">
      <c r="A58" s="177"/>
      <c r="B58" s="157"/>
      <c r="C58" s="157"/>
      <c r="D58" s="171"/>
      <c r="E58" s="154"/>
      <c r="F58" s="154"/>
      <c r="G58" s="154"/>
      <c r="H58" s="154"/>
      <c r="I58" s="154"/>
      <c r="J58" s="154"/>
      <c r="K58" s="154"/>
      <c r="L58" s="154"/>
      <c r="M58" s="154"/>
      <c r="N58" s="154"/>
      <c r="O58" s="161"/>
      <c r="P58" s="164"/>
      <c r="Q58" s="164"/>
      <c r="R58" s="164"/>
      <c r="S58" s="164"/>
      <c r="T58" s="164"/>
      <c r="U58" s="164"/>
      <c r="V58" s="164"/>
      <c r="W58" s="164"/>
      <c r="X58" s="164"/>
      <c r="Y58" s="164"/>
      <c r="Z58" s="164"/>
      <c r="AA58" s="164"/>
      <c r="AB58" s="164"/>
      <c r="AC58" s="164"/>
    </row>
    <row r="59" spans="1:29" s="140" customFormat="1" ht="15">
      <c r="A59" s="138"/>
      <c r="B59" s="138"/>
      <c r="C59" s="138"/>
      <c r="D59" s="138"/>
      <c r="E59" s="175"/>
      <c r="F59" s="175"/>
      <c r="G59" s="175"/>
      <c r="H59" s="175"/>
      <c r="I59" s="175"/>
      <c r="J59" s="175"/>
      <c r="K59" s="175"/>
      <c r="L59" s="175"/>
      <c r="M59" s="175"/>
      <c r="N59" s="175"/>
      <c r="O59" s="164"/>
      <c r="P59" s="164"/>
      <c r="Q59" s="164"/>
      <c r="R59" s="164"/>
      <c r="S59" s="164"/>
      <c r="T59" s="164"/>
      <c r="U59" s="164"/>
      <c r="V59" s="164"/>
      <c r="W59" s="164"/>
      <c r="X59" s="164"/>
      <c r="Y59" s="164"/>
      <c r="Z59" s="164"/>
      <c r="AA59" s="164"/>
      <c r="AB59" s="164"/>
      <c r="AC59" s="164"/>
    </row>
    <row r="60" spans="1:29" s="140" customFormat="1" ht="15">
      <c r="A60" s="138"/>
      <c r="B60" s="138"/>
      <c r="C60" s="138"/>
      <c r="D60" s="138"/>
      <c r="E60" s="175"/>
      <c r="F60" s="175"/>
      <c r="G60" s="175"/>
      <c r="H60" s="175"/>
      <c r="I60" s="175"/>
      <c r="J60" s="175"/>
      <c r="K60" s="175"/>
      <c r="L60" s="175"/>
      <c r="M60" s="175"/>
      <c r="N60" s="175"/>
      <c r="O60" s="164"/>
      <c r="P60" s="164"/>
      <c r="Q60" s="164"/>
      <c r="R60" s="164"/>
      <c r="S60" s="164"/>
      <c r="T60" s="164"/>
      <c r="U60" s="164"/>
      <c r="V60" s="164"/>
      <c r="W60" s="164"/>
      <c r="X60" s="164"/>
      <c r="Y60" s="164"/>
      <c r="Z60" s="164"/>
      <c r="AA60" s="164"/>
      <c r="AB60" s="164"/>
      <c r="AC60" s="164"/>
    </row>
    <row r="61" spans="1:29" s="140" customFormat="1" ht="15">
      <c r="A61" s="138"/>
      <c r="B61" s="138"/>
      <c r="C61" s="138"/>
      <c r="D61" s="138"/>
      <c r="E61" s="175"/>
      <c r="F61" s="175"/>
      <c r="G61" s="175"/>
      <c r="H61" s="175"/>
      <c r="I61" s="175"/>
      <c r="J61" s="175"/>
      <c r="K61" s="175"/>
      <c r="L61" s="175"/>
      <c r="M61" s="175"/>
      <c r="N61" s="175"/>
      <c r="O61" s="164"/>
      <c r="P61" s="164"/>
      <c r="Q61" s="164"/>
      <c r="R61" s="164"/>
      <c r="S61" s="164"/>
      <c r="T61" s="164"/>
      <c r="U61" s="164"/>
      <c r="V61" s="164"/>
      <c r="W61" s="164"/>
      <c r="X61" s="164"/>
      <c r="Y61" s="164"/>
      <c r="Z61" s="164"/>
      <c r="AA61" s="164"/>
      <c r="AB61" s="164"/>
      <c r="AC61" s="164"/>
    </row>
    <row r="62" spans="1:29" s="140" customFormat="1" ht="15">
      <c r="A62" s="138"/>
      <c r="B62" s="138"/>
      <c r="C62" s="138"/>
      <c r="D62" s="138"/>
      <c r="E62" s="175"/>
      <c r="F62" s="175"/>
      <c r="G62" s="175"/>
      <c r="H62" s="175"/>
      <c r="I62" s="175"/>
      <c r="J62" s="175"/>
      <c r="K62" s="175"/>
      <c r="L62" s="175"/>
      <c r="M62" s="175"/>
      <c r="N62" s="175"/>
      <c r="O62" s="164"/>
      <c r="P62" s="164"/>
      <c r="Q62" s="164"/>
      <c r="R62" s="164"/>
      <c r="S62" s="164"/>
      <c r="T62" s="164"/>
      <c r="U62" s="164"/>
      <c r="V62" s="164"/>
      <c r="W62" s="164"/>
      <c r="X62" s="164"/>
      <c r="Y62" s="164"/>
      <c r="Z62" s="164"/>
      <c r="AA62" s="164"/>
      <c r="AB62" s="164"/>
      <c r="AC62" s="164"/>
    </row>
    <row r="63" spans="1:29" s="140" customFormat="1" ht="15">
      <c r="A63" s="138"/>
      <c r="B63" s="138"/>
      <c r="C63" s="138"/>
      <c r="D63" s="138"/>
      <c r="E63" s="175"/>
      <c r="F63" s="175"/>
      <c r="G63" s="175"/>
      <c r="H63" s="175"/>
      <c r="I63" s="175"/>
      <c r="J63" s="175"/>
      <c r="K63" s="175"/>
      <c r="L63" s="175"/>
      <c r="M63" s="175"/>
      <c r="N63" s="175"/>
      <c r="O63" s="164"/>
      <c r="P63" s="164"/>
      <c r="Q63" s="164"/>
      <c r="R63" s="164"/>
      <c r="S63" s="164"/>
      <c r="T63" s="164"/>
      <c r="U63" s="164"/>
      <c r="V63" s="164"/>
      <c r="W63" s="164"/>
      <c r="X63" s="164"/>
      <c r="Y63" s="164"/>
      <c r="Z63" s="164"/>
      <c r="AA63" s="164"/>
      <c r="AB63" s="164"/>
      <c r="AC63" s="164"/>
    </row>
    <row r="64" spans="1:29" s="140" customFormat="1" ht="15">
      <c r="A64" s="138"/>
      <c r="B64" s="138"/>
      <c r="C64" s="138"/>
      <c r="D64" s="138"/>
      <c r="E64" s="175"/>
      <c r="F64" s="175"/>
      <c r="G64" s="175"/>
      <c r="H64" s="175"/>
      <c r="I64" s="175"/>
      <c r="J64" s="175"/>
      <c r="K64" s="175"/>
      <c r="L64" s="175"/>
      <c r="M64" s="175"/>
      <c r="N64" s="175"/>
      <c r="O64" s="164"/>
      <c r="P64" s="164"/>
      <c r="Q64" s="164"/>
      <c r="R64" s="164"/>
      <c r="S64" s="164"/>
      <c r="T64" s="164"/>
      <c r="U64" s="164"/>
      <c r="V64" s="164"/>
      <c r="W64" s="164"/>
      <c r="X64" s="164"/>
      <c r="Y64" s="164"/>
      <c r="Z64" s="164"/>
      <c r="AA64" s="164"/>
      <c r="AB64" s="164"/>
      <c r="AC64" s="164"/>
    </row>
    <row r="65" spans="1:29" s="140" customFormat="1" ht="15">
      <c r="A65" s="138"/>
      <c r="B65" s="138"/>
      <c r="C65" s="138"/>
      <c r="D65" s="138"/>
      <c r="E65" s="175"/>
      <c r="F65" s="175"/>
      <c r="G65" s="175"/>
      <c r="H65" s="175"/>
      <c r="I65" s="175"/>
      <c r="J65" s="175"/>
      <c r="K65" s="175"/>
      <c r="L65" s="175"/>
      <c r="M65" s="175"/>
      <c r="N65" s="175"/>
      <c r="O65" s="164"/>
      <c r="P65" s="164"/>
      <c r="Q65" s="164"/>
      <c r="R65" s="164"/>
      <c r="S65" s="164"/>
      <c r="T65" s="164"/>
      <c r="U65" s="164"/>
      <c r="V65" s="164"/>
      <c r="W65" s="164"/>
      <c r="X65" s="164"/>
      <c r="Y65" s="164"/>
      <c r="Z65" s="164"/>
      <c r="AA65" s="164"/>
      <c r="AB65" s="164"/>
      <c r="AC65" s="164"/>
    </row>
    <row r="66" spans="1:29" s="140" customFormat="1" ht="15">
      <c r="A66" s="138"/>
      <c r="B66" s="138"/>
      <c r="C66" s="138"/>
      <c r="D66" s="138"/>
      <c r="E66" s="175"/>
      <c r="F66" s="175"/>
      <c r="G66" s="175"/>
      <c r="H66" s="175"/>
      <c r="I66" s="175"/>
      <c r="J66" s="175"/>
      <c r="K66" s="175"/>
      <c r="L66" s="175"/>
      <c r="M66" s="175"/>
      <c r="N66" s="175"/>
      <c r="O66" s="164"/>
      <c r="P66" s="164"/>
      <c r="Q66" s="164"/>
      <c r="R66" s="164"/>
      <c r="S66" s="164"/>
      <c r="T66" s="164"/>
      <c r="U66" s="164"/>
      <c r="V66" s="164"/>
      <c r="W66" s="164"/>
      <c r="X66" s="164"/>
      <c r="Y66" s="164"/>
      <c r="Z66" s="164"/>
      <c r="AA66" s="164"/>
      <c r="AB66" s="164"/>
      <c r="AC66" s="164"/>
    </row>
    <row r="67" spans="1:14" ht="12.75">
      <c r="A67" s="6"/>
      <c r="B67" s="6"/>
      <c r="C67" s="6"/>
      <c r="D67" s="6"/>
      <c r="E67" s="5"/>
      <c r="F67" s="5"/>
      <c r="G67" s="5"/>
      <c r="H67" s="5"/>
      <c r="I67" s="5"/>
      <c r="J67" s="5"/>
      <c r="K67" s="5"/>
      <c r="L67" s="5"/>
      <c r="M67" s="5"/>
      <c r="N67" s="5"/>
    </row>
    <row r="68" spans="1:14" ht="12.75">
      <c r="A68" s="6"/>
      <c r="B68" s="6"/>
      <c r="C68" s="6"/>
      <c r="D68" s="6"/>
      <c r="E68" s="5"/>
      <c r="F68" s="5"/>
      <c r="G68" s="5"/>
      <c r="H68" s="5"/>
      <c r="I68" s="5"/>
      <c r="J68" s="5"/>
      <c r="K68" s="5"/>
      <c r="L68" s="5"/>
      <c r="M68" s="5"/>
      <c r="N68" s="5"/>
    </row>
  </sheetData>
  <sheetProtection/>
  <mergeCells count="11">
    <mergeCell ref="B56:C57"/>
    <mergeCell ref="B50:C51"/>
    <mergeCell ref="B53:C54"/>
    <mergeCell ref="A11:D11"/>
    <mergeCell ref="A13:D13"/>
    <mergeCell ref="C31:C32"/>
    <mergeCell ref="C34:C35"/>
    <mergeCell ref="B41:C44"/>
    <mergeCell ref="A9:D9"/>
    <mergeCell ref="A15:D15"/>
    <mergeCell ref="B19:C21"/>
  </mergeCells>
  <printOptions horizontalCentered="1"/>
  <pageMargins left="0" right="0" top="0.7874015748031497" bottom="0.5905511811023623" header="0.5118110236220472" footer="0.5118110236220472"/>
  <pageSetup horizontalDpi="600" verticalDpi="600" orientation="portrait" paperSize="9" scale="65" r:id="rId2"/>
  <headerFooter alignWithMargins="0">
    <oddHeader>&amp;CInstructions</oddHead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F189"/>
  <sheetViews>
    <sheetView showGridLines="0" tabSelected="1" zoomScale="75" zoomScaleNormal="75" zoomScaleSheetLayoutView="66" workbookViewId="0" topLeftCell="A22">
      <selection activeCell="D21" sqref="D21:G21"/>
    </sheetView>
  </sheetViews>
  <sheetFormatPr defaultColWidth="9.140625" defaultRowHeight="12.75"/>
  <cols>
    <col min="1" max="1" width="2.7109375" style="85" customWidth="1"/>
    <col min="2" max="2" width="62.8515625" style="85" customWidth="1"/>
    <col min="3" max="3" width="9.8515625" style="85" customWidth="1"/>
    <col min="4" max="8" width="15.7109375" style="85" customWidth="1"/>
    <col min="9" max="9" width="17.57421875" style="85" customWidth="1"/>
    <col min="10" max="13" width="15.7109375" style="85" customWidth="1"/>
    <col min="14" max="14" width="4.57421875" style="85" bestFit="1" customWidth="1"/>
    <col min="15" max="15" width="4.00390625" style="343" customWidth="1"/>
    <col min="16" max="16" width="8.7109375" style="343" bestFit="1" customWidth="1"/>
    <col min="17" max="17" width="4.00390625" style="343" customWidth="1"/>
    <col min="18" max="18" width="5.57421875" style="487" bestFit="1" customWidth="1"/>
    <col min="19" max="19" width="7.00390625" style="487" bestFit="1" customWidth="1"/>
    <col min="20" max="21" width="6.7109375" style="487" bestFit="1" customWidth="1"/>
    <col min="22" max="24" width="5.8515625" style="487" bestFit="1" customWidth="1"/>
    <col min="25" max="25" width="3.7109375" style="487" bestFit="1" customWidth="1"/>
    <col min="26" max="26" width="5.28125" style="487" customWidth="1"/>
    <col min="27" max="27" width="7.28125" style="487" customWidth="1"/>
    <col min="28" max="28" width="12.140625" style="487" customWidth="1"/>
    <col min="29" max="32" width="3.57421875" style="487" bestFit="1" customWidth="1"/>
    <col min="33" max="33" width="6.421875" style="487" bestFit="1" customWidth="1"/>
    <col min="34" max="35" width="6.8515625" style="487" bestFit="1" customWidth="1"/>
    <col min="36" max="36" width="6.00390625" style="487" bestFit="1" customWidth="1"/>
    <col min="37" max="37" width="7.7109375" style="487" bestFit="1" customWidth="1"/>
    <col min="38" max="38" width="10.57421875" style="487" bestFit="1" customWidth="1"/>
    <col min="39" max="131" width="9.140625" style="85" customWidth="1"/>
    <col min="132" max="132" width="11.8515625" style="85" bestFit="1" customWidth="1"/>
    <col min="133" max="171" width="9.140625" style="85" customWidth="1"/>
    <col min="172" max="172" width="10.8515625" style="85" bestFit="1" customWidth="1"/>
    <col min="173" max="173" width="8.00390625" style="85" bestFit="1" customWidth="1"/>
    <col min="174" max="177" width="9.140625" style="85" customWidth="1"/>
    <col min="178" max="178" width="19.57421875" style="85" bestFit="1" customWidth="1"/>
    <col min="179" max="16384" width="9.140625" style="85" customWidth="1"/>
  </cols>
  <sheetData>
    <row r="1" spans="1:14" ht="4.5" customHeight="1">
      <c r="A1" s="401"/>
      <c r="B1" s="402"/>
      <c r="C1" s="402"/>
      <c r="D1" s="402"/>
      <c r="E1" s="402"/>
      <c r="F1" s="402"/>
      <c r="G1" s="402"/>
      <c r="H1" s="402"/>
      <c r="I1" s="402"/>
      <c r="J1" s="402"/>
      <c r="K1" s="402"/>
      <c r="L1" s="402"/>
      <c r="M1" s="402"/>
      <c r="N1" s="403"/>
    </row>
    <row r="2" spans="1:14" ht="12.75">
      <c r="A2" s="404"/>
      <c r="B2" s="405"/>
      <c r="C2" s="405"/>
      <c r="D2" s="405"/>
      <c r="E2" s="405"/>
      <c r="F2" s="405"/>
      <c r="G2" s="405"/>
      <c r="H2" s="405"/>
      <c r="I2" s="405"/>
      <c r="J2" s="405"/>
      <c r="K2" s="405"/>
      <c r="L2" s="405"/>
      <c r="M2" s="405"/>
      <c r="N2" s="406"/>
    </row>
    <row r="3" spans="1:14" ht="23.25">
      <c r="A3" s="710" t="s">
        <v>65</v>
      </c>
      <c r="B3" s="711"/>
      <c r="C3" s="711"/>
      <c r="D3" s="711"/>
      <c r="E3" s="711"/>
      <c r="F3" s="711"/>
      <c r="G3" s="711"/>
      <c r="H3" s="711"/>
      <c r="I3" s="711"/>
      <c r="J3" s="711"/>
      <c r="K3" s="711"/>
      <c r="L3" s="711"/>
      <c r="M3" s="711"/>
      <c r="N3" s="712"/>
    </row>
    <row r="4" spans="1:38" s="184" customFormat="1" ht="12.75">
      <c r="A4" s="404"/>
      <c r="B4" s="405"/>
      <c r="C4" s="405"/>
      <c r="D4" s="405"/>
      <c r="E4" s="405"/>
      <c r="F4" s="405"/>
      <c r="G4" s="405"/>
      <c r="H4" s="405"/>
      <c r="I4" s="405"/>
      <c r="J4" s="405"/>
      <c r="K4" s="405"/>
      <c r="L4" s="405"/>
      <c r="M4" s="405"/>
      <c r="N4" s="406"/>
      <c r="O4" s="344"/>
      <c r="P4" s="344"/>
      <c r="Q4" s="344"/>
      <c r="R4" s="488"/>
      <c r="S4" s="488"/>
      <c r="T4" s="488"/>
      <c r="U4" s="488"/>
      <c r="V4" s="488"/>
      <c r="W4" s="488"/>
      <c r="X4" s="488"/>
      <c r="Y4" s="488"/>
      <c r="Z4" s="488"/>
      <c r="AA4" s="488"/>
      <c r="AB4" s="488"/>
      <c r="AC4" s="488"/>
      <c r="AD4" s="488"/>
      <c r="AE4" s="488"/>
      <c r="AF4" s="488"/>
      <c r="AG4" s="488"/>
      <c r="AH4" s="488"/>
      <c r="AI4" s="488"/>
      <c r="AJ4" s="488"/>
      <c r="AK4" s="488"/>
      <c r="AL4" s="488"/>
    </row>
    <row r="5" spans="1:38" s="184" customFormat="1" ht="15.75">
      <c r="A5" s="404"/>
      <c r="B5" s="405"/>
      <c r="C5" s="221"/>
      <c r="D5" s="220"/>
      <c r="E5" s="220"/>
      <c r="F5" s="220"/>
      <c r="G5" s="648">
        <v>34</v>
      </c>
      <c r="H5" s="220"/>
      <c r="I5" s="220"/>
      <c r="J5" s="220"/>
      <c r="K5" s="220"/>
      <c r="L5" s="220"/>
      <c r="M5" s="220"/>
      <c r="N5" s="407"/>
      <c r="O5" s="344"/>
      <c r="P5" s="344"/>
      <c r="Q5" s="344"/>
      <c r="R5" s="488"/>
      <c r="S5" s="488"/>
      <c r="T5" s="488"/>
      <c r="U5" s="488"/>
      <c r="V5" s="488"/>
      <c r="W5" s="488"/>
      <c r="X5" s="488"/>
      <c r="Y5" s="488"/>
      <c r="Z5" s="488"/>
      <c r="AA5" s="488"/>
      <c r="AB5" s="488"/>
      <c r="AC5" s="488"/>
      <c r="AD5" s="488"/>
      <c r="AE5" s="488"/>
      <c r="AF5" s="488"/>
      <c r="AG5" s="488"/>
      <c r="AH5" s="488"/>
      <c r="AI5" s="488"/>
      <c r="AJ5" s="488"/>
      <c r="AK5" s="488"/>
      <c r="AL5" s="488"/>
    </row>
    <row r="6" spans="1:38" s="184" customFormat="1" ht="23.25">
      <c r="A6" s="404"/>
      <c r="B6" s="715" t="s">
        <v>1100</v>
      </c>
      <c r="C6" s="715"/>
      <c r="D6" s="715"/>
      <c r="E6" s="715"/>
      <c r="F6" s="715"/>
      <c r="G6" s="715"/>
      <c r="H6" s="715"/>
      <c r="I6" s="715"/>
      <c r="J6" s="715"/>
      <c r="K6" s="715"/>
      <c r="L6" s="715"/>
      <c r="M6" s="715"/>
      <c r="N6" s="716"/>
      <c r="O6" s="344"/>
      <c r="P6" s="344"/>
      <c r="Q6" s="344"/>
      <c r="R6" s="488"/>
      <c r="S6" s="488"/>
      <c r="T6" s="488"/>
      <c r="U6" s="488"/>
      <c r="V6" s="488"/>
      <c r="W6" s="488"/>
      <c r="X6" s="488"/>
      <c r="Y6" s="488"/>
      <c r="Z6" s="488"/>
      <c r="AA6" s="488"/>
      <c r="AB6" s="488"/>
      <c r="AC6" s="488"/>
      <c r="AD6" s="488"/>
      <c r="AE6" s="488"/>
      <c r="AF6" s="488"/>
      <c r="AG6" s="488"/>
      <c r="AH6" s="488"/>
      <c r="AI6" s="488"/>
      <c r="AJ6" s="488"/>
      <c r="AK6" s="488"/>
      <c r="AL6" s="488"/>
    </row>
    <row r="7" spans="1:38" s="184" customFormat="1" ht="15.75">
      <c r="A7" s="404"/>
      <c r="B7" s="717" t="s">
        <v>980</v>
      </c>
      <c r="C7" s="717"/>
      <c r="D7" s="717"/>
      <c r="E7" s="717"/>
      <c r="F7" s="717"/>
      <c r="G7" s="717"/>
      <c r="H7" s="717"/>
      <c r="I7" s="717"/>
      <c r="J7" s="717"/>
      <c r="K7" s="717"/>
      <c r="L7" s="717"/>
      <c r="M7" s="717"/>
      <c r="N7" s="718"/>
      <c r="O7" s="344"/>
      <c r="P7" s="344"/>
      <c r="Q7" s="344"/>
      <c r="R7" s="488"/>
      <c r="S7" s="488"/>
      <c r="T7" s="488"/>
      <c r="U7" s="488"/>
      <c r="V7" s="488"/>
      <c r="W7" s="488"/>
      <c r="X7" s="488"/>
      <c r="Y7" s="488"/>
      <c r="Z7" s="488"/>
      <c r="AA7" s="488"/>
      <c r="AB7" s="488"/>
      <c r="AC7" s="488"/>
      <c r="AD7" s="488"/>
      <c r="AE7" s="488"/>
      <c r="AF7" s="488"/>
      <c r="AG7" s="488"/>
      <c r="AH7" s="488"/>
      <c r="AI7" s="488"/>
      <c r="AJ7" s="488"/>
      <c r="AK7" s="488"/>
      <c r="AL7" s="488"/>
    </row>
    <row r="8" spans="1:38" s="184" customFormat="1" ht="15.75">
      <c r="A8" s="408"/>
      <c r="B8" s="717" t="s">
        <v>981</v>
      </c>
      <c r="C8" s="717"/>
      <c r="D8" s="717"/>
      <c r="E8" s="717"/>
      <c r="F8" s="717"/>
      <c r="G8" s="717"/>
      <c r="H8" s="717"/>
      <c r="I8" s="717"/>
      <c r="J8" s="717"/>
      <c r="K8" s="717"/>
      <c r="L8" s="717"/>
      <c r="M8" s="717"/>
      <c r="N8" s="718"/>
      <c r="O8" s="344"/>
      <c r="P8" s="344"/>
      <c r="Q8" s="344"/>
      <c r="R8" s="488"/>
      <c r="S8" s="488"/>
      <c r="T8" s="488"/>
      <c r="U8" s="488"/>
      <c r="V8" s="488"/>
      <c r="W8" s="488"/>
      <c r="X8" s="488"/>
      <c r="Y8" s="488"/>
      <c r="Z8" s="488"/>
      <c r="AA8" s="488"/>
      <c r="AB8" s="488"/>
      <c r="AC8" s="488"/>
      <c r="AD8" s="488"/>
      <c r="AE8" s="488"/>
      <c r="AF8" s="488"/>
      <c r="AG8" s="488"/>
      <c r="AH8" s="488"/>
      <c r="AI8" s="488"/>
      <c r="AJ8" s="488"/>
      <c r="AK8" s="488"/>
      <c r="AL8" s="488"/>
    </row>
    <row r="9" spans="1:38" s="184" customFormat="1" ht="21" thickBot="1">
      <c r="A9" s="409"/>
      <c r="B9" s="410"/>
      <c r="C9" s="410"/>
      <c r="D9" s="411"/>
      <c r="E9" s="411"/>
      <c r="F9" s="411"/>
      <c r="G9" s="412"/>
      <c r="H9" s="412"/>
      <c r="I9" s="412"/>
      <c r="J9" s="412"/>
      <c r="K9" s="412"/>
      <c r="L9" s="412"/>
      <c r="M9" s="412"/>
      <c r="N9" s="413"/>
      <c r="O9" s="344"/>
      <c r="P9" s="344"/>
      <c r="Q9" s="344"/>
      <c r="R9" s="488"/>
      <c r="S9" s="488"/>
      <c r="T9" s="488"/>
      <c r="U9" s="488"/>
      <c r="V9" s="488"/>
      <c r="W9" s="488"/>
      <c r="X9" s="488"/>
      <c r="Y9" s="488"/>
      <c r="Z9" s="488"/>
      <c r="AA9" s="488"/>
      <c r="AB9" s="488"/>
      <c r="AC9" s="488"/>
      <c r="AD9" s="488"/>
      <c r="AE9" s="488"/>
      <c r="AF9" s="488"/>
      <c r="AG9" s="488"/>
      <c r="AH9" s="488"/>
      <c r="AI9" s="488"/>
      <c r="AJ9" s="488"/>
      <c r="AK9" s="488"/>
      <c r="AL9" s="488"/>
    </row>
    <row r="10" spans="1:38" s="184" customFormat="1" ht="15.75">
      <c r="A10" s="245"/>
      <c r="B10" s="246"/>
      <c r="C10" s="246"/>
      <c r="D10" s="185"/>
      <c r="E10" s="185"/>
      <c r="F10" s="185"/>
      <c r="G10" s="189"/>
      <c r="H10" s="189"/>
      <c r="I10" s="189"/>
      <c r="J10" s="189"/>
      <c r="K10" s="189"/>
      <c r="L10" s="189"/>
      <c r="M10" s="189"/>
      <c r="N10" s="190"/>
      <c r="O10" s="344"/>
      <c r="P10" s="344"/>
      <c r="Q10" s="344"/>
      <c r="R10" s="488"/>
      <c r="S10" s="488"/>
      <c r="T10" s="488"/>
      <c r="U10" s="488"/>
      <c r="V10" s="488"/>
      <c r="W10" s="488"/>
      <c r="X10" s="488"/>
      <c r="Y10" s="488"/>
      <c r="Z10" s="488"/>
      <c r="AA10" s="488"/>
      <c r="AB10" s="488"/>
      <c r="AC10" s="488"/>
      <c r="AD10" s="488"/>
      <c r="AE10" s="488"/>
      <c r="AF10" s="488"/>
      <c r="AG10" s="488"/>
      <c r="AH10" s="488"/>
      <c r="AI10" s="488"/>
      <c r="AJ10" s="488"/>
      <c r="AK10" s="488"/>
      <c r="AL10" s="488"/>
    </row>
    <row r="11" spans="1:38" s="184" customFormat="1" ht="15.75">
      <c r="A11" s="188"/>
      <c r="B11" s="189"/>
      <c r="C11" s="189"/>
      <c r="D11" s="189"/>
      <c r="E11" s="414"/>
      <c r="F11" s="189"/>
      <c r="G11" s="189"/>
      <c r="H11" s="189"/>
      <c r="I11" s="189"/>
      <c r="J11" s="189"/>
      <c r="K11" s="189"/>
      <c r="L11" s="189"/>
      <c r="M11" s="189"/>
      <c r="N11" s="190"/>
      <c r="O11" s="344"/>
      <c r="P11" s="344"/>
      <c r="Q11" s="344"/>
      <c r="R11" s="488"/>
      <c r="S11" s="488"/>
      <c r="T11" s="488"/>
      <c r="U11" s="488"/>
      <c r="V11" s="488"/>
      <c r="W11" s="488"/>
      <c r="X11" s="488"/>
      <c r="Y11" s="488"/>
      <c r="Z11" s="488"/>
      <c r="AA11" s="488"/>
      <c r="AB11" s="488"/>
      <c r="AC11" s="488"/>
      <c r="AD11" s="488"/>
      <c r="AE11" s="488"/>
      <c r="AF11" s="488"/>
      <c r="AG11" s="488"/>
      <c r="AH11" s="488"/>
      <c r="AI11" s="488"/>
      <c r="AJ11" s="488"/>
      <c r="AK11" s="488"/>
      <c r="AL11" s="488"/>
    </row>
    <row r="12" spans="1:38" s="184" customFormat="1" ht="15.75">
      <c r="A12" s="188"/>
      <c r="B12" s="415"/>
      <c r="C12" s="416" t="s">
        <v>1073</v>
      </c>
      <c r="D12" s="414"/>
      <c r="E12" s="189"/>
      <c r="F12" s="417"/>
      <c r="G12" s="189"/>
      <c r="H12" s="189"/>
      <c r="I12" s="189"/>
      <c r="J12" s="189"/>
      <c r="K12" s="189"/>
      <c r="L12" s="189"/>
      <c r="M12" s="189"/>
      <c r="N12" s="190"/>
      <c r="O12" s="344"/>
      <c r="P12" s="344"/>
      <c r="Q12" s="344"/>
      <c r="R12" s="488"/>
      <c r="S12" s="488"/>
      <c r="T12" s="488"/>
      <c r="U12" s="488"/>
      <c r="V12" s="488"/>
      <c r="W12" s="488"/>
      <c r="X12" s="488"/>
      <c r="Y12" s="488"/>
      <c r="Z12" s="488"/>
      <c r="AA12" s="488"/>
      <c r="AB12" s="488"/>
      <c r="AC12" s="488"/>
      <c r="AD12" s="488"/>
      <c r="AE12" s="488"/>
      <c r="AF12" s="488"/>
      <c r="AG12" s="488"/>
      <c r="AH12" s="488"/>
      <c r="AI12" s="488"/>
      <c r="AJ12" s="488"/>
      <c r="AK12" s="488"/>
      <c r="AL12" s="488"/>
    </row>
    <row r="13" spans="1:38" s="184" customFormat="1" ht="12.75">
      <c r="A13" s="188"/>
      <c r="B13" s="247"/>
      <c r="C13" s="247"/>
      <c r="D13" s="417"/>
      <c r="E13" s="189"/>
      <c r="F13" s="417"/>
      <c r="G13" s="189"/>
      <c r="H13" s="189"/>
      <c r="I13" s="189"/>
      <c r="J13" s="189"/>
      <c r="K13" s="189"/>
      <c r="L13" s="189"/>
      <c r="M13" s="189"/>
      <c r="N13" s="190"/>
      <c r="O13" s="344"/>
      <c r="P13" s="344"/>
      <c r="Q13" s="344"/>
      <c r="R13" s="488"/>
      <c r="S13" s="488"/>
      <c r="T13" s="488"/>
      <c r="U13" s="488"/>
      <c r="V13" s="488"/>
      <c r="W13" s="488"/>
      <c r="X13" s="488"/>
      <c r="Y13" s="488"/>
      <c r="Z13" s="488"/>
      <c r="AA13" s="488"/>
      <c r="AB13" s="488"/>
      <c r="AC13" s="488"/>
      <c r="AD13" s="488"/>
      <c r="AE13" s="488"/>
      <c r="AF13" s="488"/>
      <c r="AG13" s="488"/>
      <c r="AH13" s="488"/>
      <c r="AI13" s="488"/>
      <c r="AJ13" s="488"/>
      <c r="AK13" s="488"/>
      <c r="AL13" s="488"/>
    </row>
    <row r="14" spans="1:38" s="184" customFormat="1" ht="18">
      <c r="A14" s="188"/>
      <c r="B14" s="189"/>
      <c r="C14" s="189"/>
      <c r="D14" s="247"/>
      <c r="E14" s="418"/>
      <c r="F14" s="417"/>
      <c r="G14" s="189"/>
      <c r="H14" s="189"/>
      <c r="I14" s="189"/>
      <c r="J14" s="189"/>
      <c r="K14" s="189"/>
      <c r="L14" s="189"/>
      <c r="M14" s="189"/>
      <c r="N14" s="190"/>
      <c r="O14" s="344"/>
      <c r="P14" s="344"/>
      <c r="Q14" s="344"/>
      <c r="R14" s="488"/>
      <c r="S14" s="488"/>
      <c r="T14" s="488"/>
      <c r="U14" s="488"/>
      <c r="V14" s="488"/>
      <c r="W14" s="488"/>
      <c r="X14" s="488"/>
      <c r="Y14" s="488"/>
      <c r="Z14" s="488"/>
      <c r="AA14" s="488"/>
      <c r="AB14" s="488"/>
      <c r="AC14" s="488"/>
      <c r="AD14" s="488"/>
      <c r="AE14" s="488"/>
      <c r="AF14" s="488"/>
      <c r="AG14" s="488"/>
      <c r="AH14" s="488"/>
      <c r="AI14" s="488"/>
      <c r="AJ14" s="488"/>
      <c r="AK14" s="488"/>
      <c r="AL14" s="488"/>
    </row>
    <row r="15" spans="1:38" s="184" customFormat="1" ht="13.5" thickBot="1">
      <c r="A15" s="192"/>
      <c r="B15" s="193"/>
      <c r="C15" s="189"/>
      <c r="D15" s="247"/>
      <c r="E15" s="417"/>
      <c r="F15" s="189"/>
      <c r="G15" s="189"/>
      <c r="H15" s="189"/>
      <c r="I15" s="189"/>
      <c r="J15" s="189"/>
      <c r="K15" s="189"/>
      <c r="L15" s="189"/>
      <c r="M15" s="189"/>
      <c r="N15" s="190"/>
      <c r="O15" s="344"/>
      <c r="P15" s="344"/>
      <c r="Q15" s="344"/>
      <c r="R15" s="488"/>
      <c r="S15" s="488"/>
      <c r="T15" s="488"/>
      <c r="U15" s="488"/>
      <c r="V15" s="488"/>
      <c r="W15" s="488"/>
      <c r="X15" s="488"/>
      <c r="Y15" s="488"/>
      <c r="Z15" s="488"/>
      <c r="AA15" s="488"/>
      <c r="AB15" s="488"/>
      <c r="AC15" s="488"/>
      <c r="AD15" s="488"/>
      <c r="AE15" s="488"/>
      <c r="AF15" s="488"/>
      <c r="AG15" s="488"/>
      <c r="AH15" s="488"/>
      <c r="AI15" s="488"/>
      <c r="AJ15" s="488"/>
      <c r="AK15" s="488"/>
      <c r="AL15" s="488"/>
    </row>
    <row r="16" spans="1:38" s="184" customFormat="1" ht="13.5" customHeight="1" thickBot="1">
      <c r="A16" s="245"/>
      <c r="B16" s="186"/>
      <c r="C16" s="186"/>
      <c r="D16" s="419"/>
      <c r="E16" s="420"/>
      <c r="F16" s="186"/>
      <c r="G16" s="186"/>
      <c r="H16" s="186"/>
      <c r="I16" s="186"/>
      <c r="J16" s="186"/>
      <c r="K16" s="186"/>
      <c r="L16" s="186"/>
      <c r="M16" s="186"/>
      <c r="N16" s="187"/>
      <c r="O16" s="344"/>
      <c r="P16" s="344"/>
      <c r="Q16" s="344"/>
      <c r="R16" s="488"/>
      <c r="S16" s="488"/>
      <c r="T16" s="488"/>
      <c r="U16" s="488"/>
      <c r="V16" s="488"/>
      <c r="W16" s="488"/>
      <c r="X16" s="488"/>
      <c r="Y16" s="488"/>
      <c r="Z16" s="488"/>
      <c r="AA16" s="488"/>
      <c r="AB16" s="488"/>
      <c r="AC16" s="488"/>
      <c r="AD16" s="488"/>
      <c r="AE16" s="488"/>
      <c r="AF16" s="488"/>
      <c r="AG16" s="488"/>
      <c r="AH16" s="488"/>
      <c r="AI16" s="488"/>
      <c r="AJ16" s="488"/>
      <c r="AK16" s="488"/>
      <c r="AL16" s="488"/>
    </row>
    <row r="17" spans="1:38" s="184" customFormat="1" ht="13.5" customHeight="1" thickBot="1">
      <c r="A17" s="188"/>
      <c r="B17" s="191"/>
      <c r="C17" s="421" t="s">
        <v>114</v>
      </c>
      <c r="D17" s="719" t="str">
        <f>VLOOKUP(G5,datar,2,FALSE)</f>
        <v>Brent</v>
      </c>
      <c r="E17" s="720"/>
      <c r="F17" s="720"/>
      <c r="G17" s="721"/>
      <c r="H17" s="189"/>
      <c r="I17" s="189"/>
      <c r="J17" s="189"/>
      <c r="K17" s="189"/>
      <c r="L17" s="189"/>
      <c r="M17" s="189"/>
      <c r="N17" s="190"/>
      <c r="O17" s="344"/>
      <c r="P17" s="344"/>
      <c r="Q17" s="344"/>
      <c r="R17" s="488"/>
      <c r="S17" s="488"/>
      <c r="T17" s="488"/>
      <c r="U17" s="488"/>
      <c r="V17" s="488"/>
      <c r="W17" s="488"/>
      <c r="X17" s="488"/>
      <c r="Y17" s="488"/>
      <c r="Z17" s="488"/>
      <c r="AA17" s="488"/>
      <c r="AB17" s="488"/>
      <c r="AC17" s="488"/>
      <c r="AD17" s="488"/>
      <c r="AE17" s="488"/>
      <c r="AF17" s="488"/>
      <c r="AG17" s="488"/>
      <c r="AH17" s="488"/>
      <c r="AI17" s="488"/>
      <c r="AJ17" s="488"/>
      <c r="AK17" s="488"/>
      <c r="AL17" s="488"/>
    </row>
    <row r="18" spans="1:38" s="184" customFormat="1" ht="15.75" thickBot="1">
      <c r="A18" s="188"/>
      <c r="B18" s="191"/>
      <c r="C18" s="421" t="s">
        <v>115</v>
      </c>
      <c r="D18" s="722" t="s">
        <v>73</v>
      </c>
      <c r="E18" s="723"/>
      <c r="F18" s="724"/>
      <c r="G18" s="725"/>
      <c r="H18" s="189"/>
      <c r="I18" s="189"/>
      <c r="J18" s="189"/>
      <c r="K18" s="189"/>
      <c r="L18" s="189"/>
      <c r="M18" s="189"/>
      <c r="N18" s="190"/>
      <c r="O18" s="344"/>
      <c r="P18" s="344"/>
      <c r="Q18" s="344"/>
      <c r="R18" s="488"/>
      <c r="S18" s="488"/>
      <c r="T18" s="488"/>
      <c r="U18" s="488"/>
      <c r="V18" s="488"/>
      <c r="W18" s="488"/>
      <c r="X18" s="488"/>
      <c r="Y18" s="488"/>
      <c r="Z18" s="488"/>
      <c r="AA18" s="488"/>
      <c r="AB18" s="488"/>
      <c r="AC18" s="488"/>
      <c r="AD18" s="488"/>
      <c r="AE18" s="488"/>
      <c r="AF18" s="488"/>
      <c r="AG18" s="488"/>
      <c r="AH18" s="488"/>
      <c r="AI18" s="488"/>
      <c r="AJ18" s="488"/>
      <c r="AK18" s="488"/>
      <c r="AL18" s="488"/>
    </row>
    <row r="19" spans="1:38" s="184" customFormat="1" ht="15.75" thickBot="1">
      <c r="A19" s="188"/>
      <c r="B19" s="191"/>
      <c r="C19" s="421" t="s">
        <v>116</v>
      </c>
      <c r="D19" s="726" t="s">
        <v>74</v>
      </c>
      <c r="E19" s="727"/>
      <c r="F19" s="703"/>
      <c r="G19" s="704"/>
      <c r="H19" s="250"/>
      <c r="I19" s="189"/>
      <c r="J19" s="189"/>
      <c r="K19" s="189"/>
      <c r="L19" s="189"/>
      <c r="M19" s="189"/>
      <c r="N19" s="190"/>
      <c r="O19" s="344"/>
      <c r="P19" s="344"/>
      <c r="Q19" s="344"/>
      <c r="R19" s="488"/>
      <c r="S19" s="488"/>
      <c r="T19" s="488"/>
      <c r="U19" s="488"/>
      <c r="V19" s="488"/>
      <c r="W19" s="488"/>
      <c r="X19" s="488"/>
      <c r="Y19" s="488"/>
      <c r="Z19" s="488"/>
      <c r="AA19" s="488"/>
      <c r="AB19" s="488"/>
      <c r="AC19" s="488"/>
      <c r="AD19" s="488"/>
      <c r="AE19" s="488"/>
      <c r="AF19" s="488"/>
      <c r="AG19" s="488"/>
      <c r="AH19" s="488"/>
      <c r="AI19" s="488"/>
      <c r="AJ19" s="488"/>
      <c r="AK19" s="488"/>
      <c r="AL19" s="488"/>
    </row>
    <row r="20" spans="1:38" s="184" customFormat="1" ht="15.75" thickBot="1">
      <c r="A20" s="188"/>
      <c r="B20" s="191"/>
      <c r="C20" s="421" t="s">
        <v>117</v>
      </c>
      <c r="D20" s="701" t="s">
        <v>75</v>
      </c>
      <c r="E20" s="702"/>
      <c r="F20" s="703"/>
      <c r="G20" s="704"/>
      <c r="H20" s="189"/>
      <c r="I20" s="189"/>
      <c r="J20" s="189"/>
      <c r="K20" s="189"/>
      <c r="L20" s="189"/>
      <c r="M20" s="189"/>
      <c r="N20" s="190"/>
      <c r="O20" s="344"/>
      <c r="P20" s="344"/>
      <c r="Q20" s="344"/>
      <c r="R20" s="488"/>
      <c r="S20" s="488"/>
      <c r="T20" s="488"/>
      <c r="U20" s="488"/>
      <c r="V20" s="488"/>
      <c r="W20" s="488"/>
      <c r="X20" s="488"/>
      <c r="Y20" s="488"/>
      <c r="Z20" s="488"/>
      <c r="AA20" s="488"/>
      <c r="AB20" s="488"/>
      <c r="AC20" s="488"/>
      <c r="AD20" s="488"/>
      <c r="AE20" s="488"/>
      <c r="AF20" s="488"/>
      <c r="AG20" s="488"/>
      <c r="AH20" s="488"/>
      <c r="AI20" s="488"/>
      <c r="AJ20" s="488"/>
      <c r="AK20" s="488"/>
      <c r="AL20" s="488"/>
    </row>
    <row r="21" spans="1:38" s="184" customFormat="1" ht="15.75" thickBot="1">
      <c r="A21" s="188"/>
      <c r="B21" s="191"/>
      <c r="C21" s="421" t="s">
        <v>118</v>
      </c>
      <c r="D21" s="705" t="s">
        <v>76</v>
      </c>
      <c r="E21" s="706"/>
      <c r="F21" s="703"/>
      <c r="G21" s="704"/>
      <c r="H21" s="250"/>
      <c r="I21" s="189"/>
      <c r="J21" s="189"/>
      <c r="K21" s="189"/>
      <c r="L21" s="189"/>
      <c r="M21" s="189"/>
      <c r="N21" s="190"/>
      <c r="O21" s="344"/>
      <c r="P21" s="344"/>
      <c r="Q21" s="344"/>
      <c r="R21" s="488"/>
      <c r="S21" s="488"/>
      <c r="T21" s="488"/>
      <c r="U21" s="488"/>
      <c r="V21" s="488"/>
      <c r="W21" s="488"/>
      <c r="X21" s="488"/>
      <c r="Y21" s="488"/>
      <c r="Z21" s="488"/>
      <c r="AA21" s="488"/>
      <c r="AB21" s="488"/>
      <c r="AC21" s="488"/>
      <c r="AD21" s="488"/>
      <c r="AE21" s="488"/>
      <c r="AF21" s="488"/>
      <c r="AG21" s="488"/>
      <c r="AH21" s="488"/>
      <c r="AI21" s="488"/>
      <c r="AJ21" s="488"/>
      <c r="AK21" s="488"/>
      <c r="AL21" s="488"/>
    </row>
    <row r="22" spans="1:38" s="184" customFormat="1" ht="13.5" customHeight="1" thickBot="1">
      <c r="A22" s="192"/>
      <c r="B22" s="193"/>
      <c r="C22" s="193"/>
      <c r="D22" s="422"/>
      <c r="E22" s="206"/>
      <c r="F22" s="193"/>
      <c r="G22" s="193"/>
      <c r="H22" s="193"/>
      <c r="I22" s="193"/>
      <c r="J22" s="193"/>
      <c r="K22" s="193"/>
      <c r="L22" s="193"/>
      <c r="M22" s="193"/>
      <c r="N22" s="194"/>
      <c r="O22" s="344"/>
      <c r="P22" s="344"/>
      <c r="Q22" s="344"/>
      <c r="R22" s="488"/>
      <c r="S22" s="488"/>
      <c r="T22" s="488"/>
      <c r="U22" s="488"/>
      <c r="V22" s="488"/>
      <c r="W22" s="488"/>
      <c r="X22" s="488"/>
      <c r="Y22" s="488"/>
      <c r="Z22" s="488"/>
      <c r="AA22" s="488"/>
      <c r="AB22" s="488"/>
      <c r="AC22" s="487"/>
      <c r="AD22" s="487"/>
      <c r="AE22" s="487"/>
      <c r="AF22" s="487"/>
      <c r="AG22" s="487"/>
      <c r="AH22" s="487"/>
      <c r="AI22" s="487"/>
      <c r="AJ22" s="487"/>
      <c r="AK22" s="487"/>
      <c r="AL22" s="488"/>
    </row>
    <row r="23" spans="1:38" s="184" customFormat="1" ht="23.25">
      <c r="A23" s="48"/>
      <c r="B23" s="423"/>
      <c r="C23" s="423" t="s">
        <v>1105</v>
      </c>
      <c r="D23" s="424" t="str">
        <f>D17</f>
        <v>Brent</v>
      </c>
      <c r="E23" s="186"/>
      <c r="F23" s="186"/>
      <c r="G23" s="186"/>
      <c r="H23" s="425" t="s">
        <v>64</v>
      </c>
      <c r="I23" s="426"/>
      <c r="J23" s="426"/>
      <c r="K23" s="426"/>
      <c r="L23" s="426"/>
      <c r="M23" s="186"/>
      <c r="N23" s="187"/>
      <c r="O23" s="344"/>
      <c r="P23" s="344"/>
      <c r="Q23" s="344"/>
      <c r="R23" s="488"/>
      <c r="S23" s="488"/>
      <c r="T23" s="488"/>
      <c r="U23" s="488"/>
      <c r="V23" s="488"/>
      <c r="W23" s="488"/>
      <c r="X23" s="488"/>
      <c r="Y23" s="488"/>
      <c r="Z23" s="488"/>
      <c r="AA23" s="488"/>
      <c r="AB23" s="488"/>
      <c r="AC23" s="488"/>
      <c r="AD23" s="488"/>
      <c r="AE23" s="488"/>
      <c r="AF23" s="488"/>
      <c r="AG23" s="488"/>
      <c r="AH23" s="488"/>
      <c r="AI23" s="488"/>
      <c r="AJ23" s="488"/>
      <c r="AK23" s="488"/>
      <c r="AL23" s="488"/>
    </row>
    <row r="24" spans="1:38" s="346" customFormat="1" ht="94.5" customHeight="1">
      <c r="A24" s="188"/>
      <c r="B24" s="238" t="s">
        <v>1106</v>
      </c>
      <c r="C24" s="238"/>
      <c r="D24" s="237" t="s">
        <v>867</v>
      </c>
      <c r="E24" s="237" t="s">
        <v>868</v>
      </c>
      <c r="F24" s="427" t="s">
        <v>869</v>
      </c>
      <c r="G24" s="237" t="s">
        <v>870</v>
      </c>
      <c r="H24" s="237" t="s">
        <v>871</v>
      </c>
      <c r="I24" s="237" t="s">
        <v>926</v>
      </c>
      <c r="J24" s="237" t="s">
        <v>872</v>
      </c>
      <c r="K24" s="237" t="s">
        <v>873</v>
      </c>
      <c r="L24" s="237" t="s">
        <v>874</v>
      </c>
      <c r="M24" s="237" t="s">
        <v>875</v>
      </c>
      <c r="N24" s="190"/>
      <c r="O24" s="345"/>
      <c r="P24" s="345"/>
      <c r="Q24" s="345"/>
      <c r="R24" s="707" t="s">
        <v>944</v>
      </c>
      <c r="S24" s="707"/>
      <c r="T24" s="707"/>
      <c r="U24" s="707"/>
      <c r="V24" s="707"/>
      <c r="W24" s="707"/>
      <c r="X24" s="707"/>
      <c r="Y24" s="707"/>
      <c r="Z24" s="707"/>
      <c r="AA24" s="455"/>
      <c r="AB24" s="489"/>
      <c r="AC24" s="707" t="s">
        <v>945</v>
      </c>
      <c r="AD24" s="707"/>
      <c r="AE24" s="707"/>
      <c r="AF24" s="707"/>
      <c r="AG24" s="707"/>
      <c r="AH24" s="707"/>
      <c r="AI24" s="707"/>
      <c r="AJ24" s="707"/>
      <c r="AK24" s="707"/>
      <c r="AL24" s="489"/>
    </row>
    <row r="25" spans="1:39" s="184" customFormat="1" ht="16.5" thickBot="1">
      <c r="A25" s="188"/>
      <c r="B25" s="238"/>
      <c r="C25" s="238"/>
      <c r="D25" s="189"/>
      <c r="E25" s="428"/>
      <c r="F25" s="428"/>
      <c r="G25" s="189"/>
      <c r="H25" s="189"/>
      <c r="I25" s="189"/>
      <c r="J25" s="189"/>
      <c r="K25" s="189"/>
      <c r="L25" s="189"/>
      <c r="M25" s="189"/>
      <c r="N25" s="190"/>
      <c r="O25" s="344"/>
      <c r="P25" s="344"/>
      <c r="Q25" s="344"/>
      <c r="R25" s="490" t="s">
        <v>915</v>
      </c>
      <c r="S25" s="491" t="s">
        <v>876</v>
      </c>
      <c r="T25" s="491" t="s">
        <v>877</v>
      </c>
      <c r="U25" s="491" t="s">
        <v>878</v>
      </c>
      <c r="V25" s="491" t="s">
        <v>879</v>
      </c>
      <c r="W25" s="491" t="s">
        <v>880</v>
      </c>
      <c r="X25" s="491" t="s">
        <v>881</v>
      </c>
      <c r="Y25" s="491" t="s">
        <v>882</v>
      </c>
      <c r="Z25" s="491" t="s">
        <v>1026</v>
      </c>
      <c r="AA25" s="491" t="s">
        <v>883</v>
      </c>
      <c r="AB25" s="491"/>
      <c r="AC25" s="490" t="s">
        <v>915</v>
      </c>
      <c r="AD25" s="491" t="s">
        <v>876</v>
      </c>
      <c r="AE25" s="491" t="s">
        <v>877</v>
      </c>
      <c r="AF25" s="491" t="s">
        <v>878</v>
      </c>
      <c r="AG25" s="491" t="s">
        <v>879</v>
      </c>
      <c r="AH25" s="491" t="s">
        <v>880</v>
      </c>
      <c r="AI25" s="491" t="s">
        <v>881</v>
      </c>
      <c r="AJ25" s="491" t="s">
        <v>882</v>
      </c>
      <c r="AK25" s="491" t="s">
        <v>1026</v>
      </c>
      <c r="AL25" s="491" t="s">
        <v>883</v>
      </c>
      <c r="AM25" s="85"/>
    </row>
    <row r="26" spans="1:39" s="348" customFormat="1" ht="39.75" customHeight="1" thickBot="1">
      <c r="A26" s="429"/>
      <c r="B26" s="699" t="s">
        <v>864</v>
      </c>
      <c r="C26" s="700"/>
      <c r="D26" s="51"/>
      <c r="E26" s="513">
        <f>Validation!E14</f>
        <v>2436</v>
      </c>
      <c r="F26" s="513">
        <f>Validation!F14</f>
        <v>11477</v>
      </c>
      <c r="G26" s="513">
        <f>Validation!G14</f>
        <v>31707</v>
      </c>
      <c r="H26" s="513">
        <f>Validation!H14</f>
        <v>29988</v>
      </c>
      <c r="I26" s="513">
        <f>Validation!I14</f>
        <v>21545</v>
      </c>
      <c r="J26" s="513">
        <f>Validation!J14</f>
        <v>6170</v>
      </c>
      <c r="K26" s="513">
        <f>Validation!K14</f>
        <v>3333</v>
      </c>
      <c r="L26" s="513">
        <f>Validation!L14</f>
        <v>258</v>
      </c>
      <c r="M26" s="512">
        <f>SUM(E26:L26)</f>
        <v>106914</v>
      </c>
      <c r="N26" s="431"/>
      <c r="O26" s="347"/>
      <c r="P26" s="399">
        <f>Validation!T13</f>
        <v>0</v>
      </c>
      <c r="Q26" s="347"/>
      <c r="R26" s="492"/>
      <c r="S26" s="493">
        <f>IF(E26&gt;=0,0,1)</f>
        <v>0</v>
      </c>
      <c r="T26" s="493">
        <f aca="true" t="shared" si="0" ref="T26:Z26">IF(F26&gt;=0,0,1)</f>
        <v>0</v>
      </c>
      <c r="U26" s="493">
        <f t="shared" si="0"/>
        <v>0</v>
      </c>
      <c r="V26" s="493">
        <f t="shared" si="0"/>
        <v>0</v>
      </c>
      <c r="W26" s="493">
        <f t="shared" si="0"/>
        <v>0</v>
      </c>
      <c r="X26" s="493">
        <f t="shared" si="0"/>
        <v>0</v>
      </c>
      <c r="Y26" s="493">
        <f t="shared" si="0"/>
        <v>0</v>
      </c>
      <c r="Z26" s="493">
        <f t="shared" si="0"/>
        <v>0</v>
      </c>
      <c r="AA26" s="494">
        <f>IF(ISNUMBER(SUM(S26:Z26))=TRUE,SUM(S26:Z26),1)</f>
        <v>0</v>
      </c>
      <c r="AB26" s="493"/>
      <c r="AC26" s="492"/>
      <c r="AD26" s="493">
        <f>IF(ISNUMBER(Validation!E17),1,0)</f>
        <v>0</v>
      </c>
      <c r="AE26" s="493">
        <f>IF(ISNUMBER(Validation!F17),1,0)</f>
        <v>0</v>
      </c>
      <c r="AF26" s="493">
        <f>IF(ISNUMBER(Validation!G17),1,0)</f>
        <v>0</v>
      </c>
      <c r="AG26" s="493">
        <f>IF(ISNUMBER(Validation!H17),1,0)</f>
        <v>0</v>
      </c>
      <c r="AH26" s="493">
        <f>IF(ISNUMBER(Validation!I17),1,0)</f>
        <v>0</v>
      </c>
      <c r="AI26" s="493">
        <f>IF(ISNUMBER(Validation!J17),1,0)</f>
        <v>0</v>
      </c>
      <c r="AJ26" s="493">
        <f>IF(ISNUMBER(Validation!K17),1,0)</f>
        <v>0</v>
      </c>
      <c r="AK26" s="493">
        <f>IF(ISNUMBER(Validation!L17),1,0)</f>
        <v>0</v>
      </c>
      <c r="AL26" s="493">
        <f>IF(ISNUMBER(Validation!M17),1,0)</f>
        <v>0</v>
      </c>
      <c r="AM26" s="85"/>
    </row>
    <row r="27" spans="1:39" s="184" customFormat="1" ht="15" customHeight="1" thickBot="1">
      <c r="A27" s="188"/>
      <c r="B27" s="432"/>
      <c r="C27" s="433"/>
      <c r="D27" s="685">
        <f>IF(AA26&gt;0,"Please amend invalid data entry",IF(ISNUMBER(P26)=FALSE,"Please check figures in line above",IF(P26=1,"Explanation has been added",IF(P26=0,"",IF(P26=2,"When all fields above are complete, please click here to supply any explanations",IF(P26=3,"Please click here to delete explanation",""))))))</f>
      </c>
      <c r="E27" s="685"/>
      <c r="F27" s="685"/>
      <c r="G27" s="685"/>
      <c r="H27" s="685"/>
      <c r="I27" s="685"/>
      <c r="J27" s="685"/>
      <c r="K27" s="685"/>
      <c r="L27" s="685"/>
      <c r="M27" s="654"/>
      <c r="N27" s="190"/>
      <c r="O27" s="349"/>
      <c r="P27" s="399"/>
      <c r="Q27" s="399"/>
      <c r="R27" s="399"/>
      <c r="S27" s="399"/>
      <c r="T27" s="495"/>
      <c r="U27" s="495"/>
      <c r="V27" s="495"/>
      <c r="W27" s="495"/>
      <c r="X27" s="495"/>
      <c r="Y27" s="495"/>
      <c r="Z27" s="495"/>
      <c r="AA27" s="495"/>
      <c r="AB27" s="495"/>
      <c r="AC27" s="495"/>
      <c r="AD27" s="495"/>
      <c r="AE27" s="495"/>
      <c r="AF27" s="495"/>
      <c r="AG27" s="495"/>
      <c r="AH27" s="495"/>
      <c r="AI27" s="493"/>
      <c r="AJ27" s="493"/>
      <c r="AK27" s="493"/>
      <c r="AL27" s="495"/>
      <c r="AM27" s="85"/>
    </row>
    <row r="28" spans="1:39" s="351" customFormat="1" ht="39" customHeight="1" thickBot="1">
      <c r="A28" s="434"/>
      <c r="B28" s="699" t="s">
        <v>1107</v>
      </c>
      <c r="C28" s="653"/>
      <c r="D28" s="49"/>
      <c r="E28" s="50">
        <v>183</v>
      </c>
      <c r="F28" s="50">
        <v>431</v>
      </c>
      <c r="G28" s="50">
        <v>1151</v>
      </c>
      <c r="H28" s="50">
        <v>715</v>
      </c>
      <c r="I28" s="50">
        <v>578</v>
      </c>
      <c r="J28" s="50">
        <v>188</v>
      </c>
      <c r="K28" s="50">
        <v>114</v>
      </c>
      <c r="L28" s="50">
        <v>19</v>
      </c>
      <c r="M28" s="514">
        <f>SUM(E28:L28)</f>
        <v>3379</v>
      </c>
      <c r="N28" s="435"/>
      <c r="O28" s="350"/>
      <c r="P28" s="399">
        <f>MAX(Validation!T24:T32)</f>
        <v>1</v>
      </c>
      <c r="Q28" s="347"/>
      <c r="R28" s="492"/>
      <c r="S28" s="493">
        <f>IF(AND(E28&gt;=0,E28&lt;=(E26-E30)),0,1)</f>
        <v>0</v>
      </c>
      <c r="T28" s="493">
        <f aca="true" t="shared" si="1" ref="T28:Z28">IF(AND(F28&gt;=0,F28&lt;=(F26-F30)),0,1)</f>
        <v>0</v>
      </c>
      <c r="U28" s="493">
        <f t="shared" si="1"/>
        <v>0</v>
      </c>
      <c r="V28" s="493">
        <f t="shared" si="1"/>
        <v>0</v>
      </c>
      <c r="W28" s="493">
        <f t="shared" si="1"/>
        <v>0</v>
      </c>
      <c r="X28" s="493">
        <f t="shared" si="1"/>
        <v>0</v>
      </c>
      <c r="Y28" s="493">
        <f t="shared" si="1"/>
        <v>0</v>
      </c>
      <c r="Z28" s="493">
        <f t="shared" si="1"/>
        <v>0</v>
      </c>
      <c r="AA28" s="494">
        <f>IF(ISNUMBER(SUM(S28:Z28))=TRUE,SUM(S28:Z28),1)</f>
        <v>0</v>
      </c>
      <c r="AB28" s="493"/>
      <c r="AC28" s="492"/>
      <c r="AD28" s="493">
        <f>IF(ISNUMBER(Validation!E28),1,IF(ISNUMBER(Validation!E36),1,0))</f>
        <v>0</v>
      </c>
      <c r="AE28" s="493">
        <f>IF(ISNUMBER(Validation!F28),1,IF(ISNUMBER(Validation!F36),1,0))</f>
        <v>0</v>
      </c>
      <c r="AF28" s="493">
        <f>IF(ISNUMBER(Validation!G28),1,IF(ISNUMBER(Validation!G36),1,0))</f>
        <v>0</v>
      </c>
      <c r="AG28" s="493">
        <f>IF(ISNUMBER(Validation!H28),1,IF(ISNUMBER(Validation!H36),1,0))</f>
        <v>0</v>
      </c>
      <c r="AH28" s="493">
        <f>IF(ISNUMBER(Validation!I28),1,IF(ISNUMBER(Validation!I36),1,0))</f>
        <v>1</v>
      </c>
      <c r="AI28" s="493">
        <f>IF(ISNUMBER(Validation!J28),1,IF(ISNUMBER(Validation!J36),1,0))</f>
        <v>1</v>
      </c>
      <c r="AJ28" s="493">
        <f>IF(ISNUMBER(Validation!K28),1,IF(ISNUMBER(Validation!K36),1,0))</f>
        <v>0</v>
      </c>
      <c r="AK28" s="493">
        <f>IF(ISNUMBER(Validation!L28),1,IF(ISNUMBER(Validation!L36),1,0))</f>
        <v>0</v>
      </c>
      <c r="AL28" s="493">
        <f>IF(ISNUMBER(Validation!M28),1,IF(ISNUMBER(Validation!M36),1,0))</f>
        <v>0</v>
      </c>
      <c r="AM28" s="85"/>
    </row>
    <row r="29" spans="1:39" s="184" customFormat="1" ht="15" customHeight="1" thickBot="1">
      <c r="A29" s="188"/>
      <c r="B29" s="432"/>
      <c r="C29" s="572"/>
      <c r="D29" s="654" t="str">
        <f>IF(AA28&gt;0,"Please amend invalid data entry",IF(ISNUMBER(P28)=FALSE,"Please check figures in line above",IF(P28=1,"Explanation has been added",IF(P28=0,"",IF(P28=2,"When all fields above are complete, please click here to supply any explanations",IF(P28=3,"Please click here to delete explanation",""))))))</f>
        <v>Explanation has been added</v>
      </c>
      <c r="E29" s="654"/>
      <c r="F29" s="654"/>
      <c r="G29" s="654"/>
      <c r="H29" s="654"/>
      <c r="I29" s="654"/>
      <c r="J29" s="654"/>
      <c r="K29" s="654"/>
      <c r="L29" s="685"/>
      <c r="M29" s="654"/>
      <c r="N29" s="435"/>
      <c r="O29" s="349"/>
      <c r="P29" s="400"/>
      <c r="Q29" s="400"/>
      <c r="R29" s="400"/>
      <c r="S29" s="400"/>
      <c r="T29" s="400"/>
      <c r="U29" s="400"/>
      <c r="V29" s="400"/>
      <c r="W29" s="400"/>
      <c r="X29" s="400"/>
      <c r="Y29" s="400"/>
      <c r="Z29" s="400"/>
      <c r="AA29" s="400"/>
      <c r="AB29" s="400"/>
      <c r="AC29" s="400"/>
      <c r="AD29" s="400"/>
      <c r="AE29" s="400"/>
      <c r="AF29" s="400"/>
      <c r="AG29" s="495"/>
      <c r="AH29" s="495"/>
      <c r="AI29" s="495"/>
      <c r="AJ29" s="495"/>
      <c r="AK29" s="495"/>
      <c r="AL29" s="495"/>
      <c r="AM29" s="85"/>
    </row>
    <row r="30" spans="1:39" s="354" customFormat="1" ht="36.75" customHeight="1" thickBot="1">
      <c r="A30" s="436"/>
      <c r="B30" s="699" t="s">
        <v>3</v>
      </c>
      <c r="C30" s="653"/>
      <c r="D30" s="49"/>
      <c r="E30" s="50">
        <v>0</v>
      </c>
      <c r="F30" s="50">
        <v>0</v>
      </c>
      <c r="G30" s="50">
        <v>0</v>
      </c>
      <c r="H30" s="50">
        <v>0</v>
      </c>
      <c r="I30" s="50">
        <v>0</v>
      </c>
      <c r="J30" s="50">
        <v>0</v>
      </c>
      <c r="K30" s="50">
        <v>0</v>
      </c>
      <c r="L30" s="50">
        <v>0</v>
      </c>
      <c r="M30" s="514">
        <f>SUM(E30:L30)</f>
        <v>0</v>
      </c>
      <c r="N30" s="437"/>
      <c r="O30" s="352"/>
      <c r="P30" s="399">
        <f>MAX(Validation!T42:T50)</f>
        <v>0</v>
      </c>
      <c r="Q30" s="347"/>
      <c r="R30" s="492"/>
      <c r="S30" s="493">
        <f>IF(AND(E30&gt;=0,E30&lt;=(E26-E28)),0,1)</f>
        <v>0</v>
      </c>
      <c r="T30" s="493">
        <f>IF(AND(F30&gt;=0,F30&lt;=(F26-F28)),0,1)</f>
        <v>0</v>
      </c>
      <c r="U30" s="493">
        <f aca="true" t="shared" si="2" ref="U30:Z30">IF(AND(G30&gt;=0,G30&lt;=(G26-G28)),0,1)</f>
        <v>0</v>
      </c>
      <c r="V30" s="493">
        <f t="shared" si="2"/>
        <v>0</v>
      </c>
      <c r="W30" s="493">
        <f t="shared" si="2"/>
        <v>0</v>
      </c>
      <c r="X30" s="493">
        <f t="shared" si="2"/>
        <v>0</v>
      </c>
      <c r="Y30" s="493">
        <f t="shared" si="2"/>
        <v>0</v>
      </c>
      <c r="Z30" s="493">
        <f t="shared" si="2"/>
        <v>0</v>
      </c>
      <c r="AA30" s="494">
        <f>IF(ISNUMBER(SUM(S30:Z30))=TRUE,SUM(S30:Z30),1)</f>
        <v>0</v>
      </c>
      <c r="AB30" s="493"/>
      <c r="AC30" s="492"/>
      <c r="AD30" s="493">
        <f>IF(ISNUMBER(Validation!E46),1,IF(ISNUMBER(Validation!E54),1,0))</f>
        <v>0</v>
      </c>
      <c r="AE30" s="493">
        <f>IF(ISNUMBER(Validation!F46),1,IF(ISNUMBER(Validation!F54),1,0))</f>
        <v>0</v>
      </c>
      <c r="AF30" s="493">
        <f>IF(ISNUMBER(Validation!G46),1,IF(ISNUMBER(Validation!G54),1,0))</f>
        <v>0</v>
      </c>
      <c r="AG30" s="493">
        <f>IF(ISNUMBER(Validation!H46),1,IF(ISNUMBER(Validation!H54),1,0))</f>
        <v>0</v>
      </c>
      <c r="AH30" s="493">
        <f>IF(ISNUMBER(Validation!I46),1,IF(ISNUMBER(Validation!I54),1,0))</f>
        <v>0</v>
      </c>
      <c r="AI30" s="493">
        <f>IF(ISNUMBER(Validation!J46),1,IF(ISNUMBER(Validation!J54),1,0))</f>
        <v>0</v>
      </c>
      <c r="AJ30" s="493">
        <f>IF(ISNUMBER(Validation!K46),1,IF(ISNUMBER(Validation!K54),1,0))</f>
        <v>0</v>
      </c>
      <c r="AK30" s="493">
        <f>IF(ISNUMBER(Validation!L46),1,IF(ISNUMBER(Validation!L54),1,0))</f>
        <v>0</v>
      </c>
      <c r="AL30" s="493">
        <f>IF(ISNUMBER(Validation!M46),1,IF(ISNUMBER(Validation!M54),1,0))</f>
        <v>0</v>
      </c>
      <c r="AM30" s="85"/>
    </row>
    <row r="31" spans="1:39" s="184" customFormat="1" ht="15" customHeight="1" thickBot="1">
      <c r="A31" s="188"/>
      <c r="B31" s="438"/>
      <c r="C31" s="439"/>
      <c r="D31" s="685">
        <f>IF(AA30&gt;0,"Please amend invalid data entry",IF(ISNUMBER(P30)=FALSE,"Please check figures in line above",IF(P30=1,"Explanation has been added",IF(P30=0,"",IF(P30=2,"When all fields above are complete, please click here to supply any explanations/complete all fields",IF(P30=3,"Please click here to delete explanation",""))))))</f>
      </c>
      <c r="E31" s="654"/>
      <c r="F31" s="654"/>
      <c r="G31" s="654"/>
      <c r="H31" s="654"/>
      <c r="I31" s="654"/>
      <c r="J31" s="654"/>
      <c r="K31" s="654"/>
      <c r="L31" s="654"/>
      <c r="M31" s="654"/>
      <c r="N31" s="190"/>
      <c r="O31" s="349"/>
      <c r="P31" s="400"/>
      <c r="Q31" s="400"/>
      <c r="R31" s="400"/>
      <c r="S31" s="400"/>
      <c r="T31" s="400"/>
      <c r="U31" s="400"/>
      <c r="V31" s="400"/>
      <c r="W31" s="400"/>
      <c r="X31" s="400"/>
      <c r="Y31" s="400"/>
      <c r="Z31" s="400"/>
      <c r="AA31" s="400"/>
      <c r="AB31" s="400"/>
      <c r="AC31" s="400"/>
      <c r="AD31" s="400"/>
      <c r="AE31" s="400"/>
      <c r="AF31" s="400"/>
      <c r="AG31" s="400"/>
      <c r="AH31" s="400"/>
      <c r="AI31" s="400"/>
      <c r="AJ31" s="495"/>
      <c r="AK31" s="495"/>
      <c r="AL31" s="495"/>
      <c r="AM31" s="85"/>
    </row>
    <row r="32" spans="1:15" s="354" customFormat="1" ht="39.75" customHeight="1" thickBot="1">
      <c r="A32" s="436"/>
      <c r="B32" s="699" t="s">
        <v>1108</v>
      </c>
      <c r="C32" s="728"/>
      <c r="D32" s="51"/>
      <c r="E32" s="511">
        <f>E26-E28-E30</f>
        <v>2253</v>
      </c>
      <c r="F32" s="511">
        <f aca="true" t="shared" si="3" ref="F32:L32">F26-F28-F30</f>
        <v>11046</v>
      </c>
      <c r="G32" s="511">
        <f t="shared" si="3"/>
        <v>30556</v>
      </c>
      <c r="H32" s="511">
        <f>H26-H28-H30</f>
        <v>29273</v>
      </c>
      <c r="I32" s="511">
        <f t="shared" si="3"/>
        <v>20967</v>
      </c>
      <c r="J32" s="511">
        <f t="shared" si="3"/>
        <v>5982</v>
      </c>
      <c r="K32" s="511">
        <f t="shared" si="3"/>
        <v>3219</v>
      </c>
      <c r="L32" s="511">
        <f t="shared" si="3"/>
        <v>239</v>
      </c>
      <c r="M32" s="512">
        <f>SUM(E32:L32)</f>
        <v>103535</v>
      </c>
      <c r="N32" s="437"/>
      <c r="O32" s="353"/>
    </row>
    <row r="33" spans="1:39" s="184" customFormat="1" ht="15" customHeight="1" thickBot="1">
      <c r="A33" s="188"/>
      <c r="B33" s="438"/>
      <c r="C33" s="439"/>
      <c r="D33" s="52"/>
      <c r="E33" s="52"/>
      <c r="F33" s="52"/>
      <c r="G33" s="52"/>
      <c r="H33" s="52"/>
      <c r="I33" s="52"/>
      <c r="J33" s="52"/>
      <c r="K33" s="52"/>
      <c r="L33" s="52"/>
      <c r="M33" s="52"/>
      <c r="N33" s="190"/>
      <c r="O33" s="349"/>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95"/>
      <c r="AM33" s="85"/>
    </row>
    <row r="34" spans="1:39" s="354" customFormat="1" ht="39.75" customHeight="1" thickBot="1">
      <c r="A34" s="436"/>
      <c r="B34" s="699" t="s">
        <v>1109</v>
      </c>
      <c r="C34" s="653"/>
      <c r="D34" s="49"/>
      <c r="E34" s="50">
        <v>1</v>
      </c>
      <c r="F34" s="50">
        <v>28</v>
      </c>
      <c r="G34" s="50">
        <v>77</v>
      </c>
      <c r="H34" s="50">
        <v>224</v>
      </c>
      <c r="I34" s="50">
        <v>216</v>
      </c>
      <c r="J34" s="50">
        <v>91</v>
      </c>
      <c r="K34" s="50">
        <v>53</v>
      </c>
      <c r="L34" s="50">
        <v>8</v>
      </c>
      <c r="M34" s="514">
        <f>SUM(E34:L34)</f>
        <v>698</v>
      </c>
      <c r="N34" s="437"/>
      <c r="O34" s="355"/>
      <c r="P34" s="399">
        <f>MAX(Validation!T60:T78)</f>
        <v>0</v>
      </c>
      <c r="Q34" s="347"/>
      <c r="R34" s="492"/>
      <c r="S34" s="493">
        <f>IF(AND(E34&gt;=0,E34&lt;=E32),0,1)</f>
        <v>0</v>
      </c>
      <c r="T34" s="493">
        <f aca="true" t="shared" si="4" ref="T34:Z34">IF(AND(F34&gt;=0,F34&lt;=F32),0,1)</f>
        <v>0</v>
      </c>
      <c r="U34" s="493">
        <f>IF(AND(G34&gt;=0,G34&lt;=G32),0,1)</f>
        <v>0</v>
      </c>
      <c r="V34" s="493">
        <f t="shared" si="4"/>
        <v>0</v>
      </c>
      <c r="W34" s="493">
        <f t="shared" si="4"/>
        <v>0</v>
      </c>
      <c r="X34" s="493">
        <f t="shared" si="4"/>
        <v>0</v>
      </c>
      <c r="Y34" s="493">
        <f t="shared" si="4"/>
        <v>0</v>
      </c>
      <c r="Z34" s="493">
        <f t="shared" si="4"/>
        <v>0</v>
      </c>
      <c r="AA34" s="494">
        <f>IF(ISNUMBER(SUM(S34:Z34))=TRUE,SUM(S34:Z34),1)</f>
        <v>0</v>
      </c>
      <c r="AB34" s="493"/>
      <c r="AC34" s="492"/>
      <c r="AD34" s="493">
        <f>IF(ISNUMBER(Validation!E64),1,IF(ISNUMBER(Validation!E74),1,IF(ISNUMBER(Validation!E82),1,0)))</f>
        <v>0</v>
      </c>
      <c r="AE34" s="493">
        <f>IF(ISNUMBER(Validation!F64),1,IF(ISNUMBER(Validation!F74),1,IF(ISNUMBER(Validation!F82),1,0)))</f>
        <v>0</v>
      </c>
      <c r="AF34" s="493">
        <f>IF(ISNUMBER(Validation!G64),1,IF(ISNUMBER(Validation!G74),1,IF(ISNUMBER(Validation!G82),1,0)))</f>
        <v>0</v>
      </c>
      <c r="AG34" s="493">
        <f>IF(ISNUMBER(Validation!H64),1,IF(ISNUMBER(Validation!H74),1,IF(ISNUMBER(Validation!H82),1,0)))</f>
        <v>0</v>
      </c>
      <c r="AH34" s="493">
        <f>IF(ISNUMBER(Validation!I64),1,IF(ISNUMBER(Validation!I74),1,IF(ISNUMBER(Validation!I82),1,0)))</f>
        <v>0</v>
      </c>
      <c r="AI34" s="493">
        <f>IF(ISNUMBER(Validation!J64),1,IF(ISNUMBER(Validation!J74),1,IF(ISNUMBER(Validation!J82),1,0)))</f>
        <v>0</v>
      </c>
      <c r="AJ34" s="493">
        <f>IF(ISNUMBER(Validation!K64),1,IF(ISNUMBER(Validation!K74),1,IF(ISNUMBER(Validation!K82),1,0)))</f>
        <v>0</v>
      </c>
      <c r="AK34" s="493">
        <f>IF(ISNUMBER(Validation!L64),1,IF(ISNUMBER(Validation!L74),1,IF(ISNUMBER(Validation!L82),1,0)))</f>
        <v>0</v>
      </c>
      <c r="AL34" s="493">
        <f>IF(ISNUMBER(Validation!M64),1,IF(ISNUMBER(Validation!M74),1,IF(ISNUMBER(Validation!M82),1,0)))</f>
        <v>0</v>
      </c>
      <c r="AM34" s="85"/>
    </row>
    <row r="35" spans="1:38" s="184" customFormat="1" ht="15" customHeight="1" thickBot="1">
      <c r="A35" s="188"/>
      <c r="B35" s="438"/>
      <c r="C35" s="439"/>
      <c r="D35" s="654">
        <f>IF(AA34&gt;0,"Please amend invalid data entry",IF(ISNUMBER(P34)=FALSE,"Please check figures in line above",IF(P34=1,"Explanation has been added",IF(P34=0,"",IF(P34=2,"When all fields above are complete, please click here to supply any explanations",IF(P34=3,"Please click here to delete explanation",""))))))</f>
      </c>
      <c r="E35" s="654"/>
      <c r="F35" s="654"/>
      <c r="G35" s="654"/>
      <c r="H35" s="654"/>
      <c r="I35" s="654"/>
      <c r="J35" s="654"/>
      <c r="K35" s="654"/>
      <c r="L35" s="685"/>
      <c r="M35" s="654"/>
      <c r="N35" s="190"/>
      <c r="O35" s="344"/>
      <c r="P35" s="399"/>
      <c r="Q35" s="399"/>
      <c r="R35" s="399"/>
      <c r="S35" s="399"/>
      <c r="T35" s="399"/>
      <c r="U35" s="399"/>
      <c r="V35" s="399"/>
      <c r="W35" s="399"/>
      <c r="X35" s="399"/>
      <c r="Y35" s="399"/>
      <c r="Z35" s="399"/>
      <c r="AA35" s="399"/>
      <c r="AB35" s="399"/>
      <c r="AC35" s="399"/>
      <c r="AD35" s="399"/>
      <c r="AE35" s="399"/>
      <c r="AF35" s="399"/>
      <c r="AG35" s="399"/>
      <c r="AH35" s="399"/>
      <c r="AI35" s="493"/>
      <c r="AJ35" s="493"/>
      <c r="AK35" s="493"/>
      <c r="AL35" s="493"/>
    </row>
    <row r="36" spans="1:38" s="354" customFormat="1" ht="39.75" customHeight="1" thickBot="1">
      <c r="A36" s="622"/>
      <c r="B36" s="699" t="s">
        <v>865</v>
      </c>
      <c r="C36" s="700"/>
      <c r="D36" s="511">
        <f>E34</f>
        <v>1</v>
      </c>
      <c r="E36" s="511">
        <f aca="true" t="shared" si="5" ref="E36:J36">F34</f>
        <v>28</v>
      </c>
      <c r="F36" s="511">
        <f t="shared" si="5"/>
        <v>77</v>
      </c>
      <c r="G36" s="511">
        <f t="shared" si="5"/>
        <v>224</v>
      </c>
      <c r="H36" s="511">
        <f t="shared" si="5"/>
        <v>216</v>
      </c>
      <c r="I36" s="511">
        <f t="shared" si="5"/>
        <v>91</v>
      </c>
      <c r="J36" s="511">
        <f t="shared" si="5"/>
        <v>53</v>
      </c>
      <c r="K36" s="519">
        <f>L34</f>
        <v>8</v>
      </c>
      <c r="L36" s="49"/>
      <c r="M36" s="512">
        <f>SUM(D36:K36)</f>
        <v>698</v>
      </c>
      <c r="N36" s="437"/>
      <c r="O36" s="353"/>
      <c r="P36" s="399"/>
      <c r="Q36" s="347"/>
      <c r="R36" s="493"/>
      <c r="S36" s="493"/>
      <c r="T36" s="493"/>
      <c r="U36" s="493"/>
      <c r="V36" s="493"/>
      <c r="W36" s="493"/>
      <c r="X36" s="493"/>
      <c r="Y36" s="493"/>
      <c r="Z36" s="493"/>
      <c r="AA36" s="494"/>
      <c r="AB36" s="493"/>
      <c r="AC36" s="493"/>
      <c r="AD36" s="493"/>
      <c r="AE36" s="493"/>
      <c r="AF36" s="493"/>
      <c r="AG36" s="493"/>
      <c r="AH36" s="493"/>
      <c r="AI36" s="493"/>
      <c r="AJ36" s="493"/>
      <c r="AK36" s="493"/>
      <c r="AL36" s="493"/>
    </row>
    <row r="37" spans="1:38" s="184" customFormat="1" ht="15" customHeight="1" thickBot="1">
      <c r="A37" s="623"/>
      <c r="B37" s="438"/>
      <c r="C37" s="439"/>
      <c r="D37" s="52"/>
      <c r="E37" s="52"/>
      <c r="F37" s="52"/>
      <c r="G37" s="52"/>
      <c r="H37" s="52"/>
      <c r="I37" s="52"/>
      <c r="J37" s="52"/>
      <c r="K37" s="52"/>
      <c r="L37" s="52"/>
      <c r="M37" s="52"/>
      <c r="N37" s="190"/>
      <c r="O37" s="344"/>
      <c r="P37" s="399"/>
      <c r="Q37" s="347"/>
      <c r="R37" s="493"/>
      <c r="S37" s="493"/>
      <c r="T37" s="493"/>
      <c r="U37" s="493"/>
      <c r="V37" s="493"/>
      <c r="W37" s="493"/>
      <c r="X37" s="493"/>
      <c r="Y37" s="493"/>
      <c r="Z37" s="493"/>
      <c r="AA37" s="494"/>
      <c r="AB37" s="493"/>
      <c r="AC37" s="493"/>
      <c r="AD37" s="493"/>
      <c r="AE37" s="493"/>
      <c r="AF37" s="493"/>
      <c r="AG37" s="493"/>
      <c r="AH37" s="493"/>
      <c r="AI37" s="493"/>
      <c r="AJ37" s="493"/>
      <c r="AK37" s="493"/>
      <c r="AL37" s="493"/>
    </row>
    <row r="38" spans="1:38" s="354" customFormat="1" ht="55.5" customHeight="1" thickBot="1">
      <c r="A38" s="622"/>
      <c r="B38" s="699" t="s">
        <v>637</v>
      </c>
      <c r="C38" s="700"/>
      <c r="D38" s="511">
        <f>D36</f>
        <v>1</v>
      </c>
      <c r="E38" s="511">
        <f>E32-E34+E36</f>
        <v>2280</v>
      </c>
      <c r="F38" s="511">
        <f aca="true" t="shared" si="6" ref="F38:K38">F32-F34+F36</f>
        <v>11095</v>
      </c>
      <c r="G38" s="511">
        <f t="shared" si="6"/>
        <v>30703</v>
      </c>
      <c r="H38" s="511">
        <f>H32-H34+H36</f>
        <v>29265</v>
      </c>
      <c r="I38" s="511">
        <f t="shared" si="6"/>
        <v>20842</v>
      </c>
      <c r="J38" s="511">
        <f t="shared" si="6"/>
        <v>5944</v>
      </c>
      <c r="K38" s="511">
        <f t="shared" si="6"/>
        <v>3174</v>
      </c>
      <c r="L38" s="511">
        <f>L32-L34</f>
        <v>231</v>
      </c>
      <c r="M38" s="511">
        <f>SUM(D38:L38)</f>
        <v>103535</v>
      </c>
      <c r="N38" s="437"/>
      <c r="O38" s="353"/>
      <c r="P38" s="399"/>
      <c r="Q38" s="347"/>
      <c r="R38" s="493"/>
      <c r="S38" s="493"/>
      <c r="T38" s="493"/>
      <c r="U38" s="493"/>
      <c r="V38" s="493"/>
      <c r="W38" s="493"/>
      <c r="X38" s="493"/>
      <c r="Y38" s="493"/>
      <c r="Z38" s="493"/>
      <c r="AA38" s="494"/>
      <c r="AB38" s="493"/>
      <c r="AC38" s="493"/>
      <c r="AD38" s="493"/>
      <c r="AE38" s="493"/>
      <c r="AF38" s="493"/>
      <c r="AG38" s="493"/>
      <c r="AH38" s="493"/>
      <c r="AI38" s="493"/>
      <c r="AJ38" s="493"/>
      <c r="AK38" s="493"/>
      <c r="AL38" s="493"/>
    </row>
    <row r="39" spans="1:38" s="184" customFormat="1" ht="15" customHeight="1" thickBot="1">
      <c r="A39" s="623"/>
      <c r="B39" s="438"/>
      <c r="C39" s="439"/>
      <c r="D39" s="52"/>
      <c r="E39" s="52"/>
      <c r="F39" s="52"/>
      <c r="G39" s="52"/>
      <c r="H39" s="52"/>
      <c r="I39" s="52"/>
      <c r="J39" s="52"/>
      <c r="K39" s="52"/>
      <c r="L39" s="52"/>
      <c r="M39" s="52"/>
      <c r="N39" s="190"/>
      <c r="O39" s="344"/>
      <c r="P39" s="399"/>
      <c r="Q39" s="347"/>
      <c r="R39" s="493"/>
      <c r="S39" s="493"/>
      <c r="T39" s="493"/>
      <c r="U39" s="493"/>
      <c r="V39" s="493"/>
      <c r="W39" s="493"/>
      <c r="X39" s="493"/>
      <c r="Y39" s="493"/>
      <c r="Z39" s="493"/>
      <c r="AA39" s="494"/>
      <c r="AB39" s="493"/>
      <c r="AC39" s="493"/>
      <c r="AD39" s="493"/>
      <c r="AE39" s="493"/>
      <c r="AF39" s="493"/>
      <c r="AG39" s="493"/>
      <c r="AH39" s="493"/>
      <c r="AI39" s="493"/>
      <c r="AJ39" s="493"/>
      <c r="AK39" s="493"/>
      <c r="AL39" s="493"/>
    </row>
    <row r="40" spans="1:38" s="184" customFormat="1" ht="39.75" customHeight="1" thickBot="1">
      <c r="A40" s="624"/>
      <c r="B40" s="699" t="s">
        <v>1110</v>
      </c>
      <c r="C40" s="653"/>
      <c r="D40" s="50">
        <v>1</v>
      </c>
      <c r="E40" s="50">
        <v>1088</v>
      </c>
      <c r="F40" s="50">
        <v>6887</v>
      </c>
      <c r="G40" s="50">
        <v>15005</v>
      </c>
      <c r="H40" s="50">
        <v>8980</v>
      </c>
      <c r="I40" s="50">
        <v>4663</v>
      </c>
      <c r="J40" s="50">
        <v>980</v>
      </c>
      <c r="K40" s="50">
        <v>474</v>
      </c>
      <c r="L40" s="50">
        <v>13</v>
      </c>
      <c r="M40" s="515">
        <f>SUM(D40:L40)</f>
        <v>38091</v>
      </c>
      <c r="N40" s="190"/>
      <c r="O40" s="344"/>
      <c r="P40" s="399">
        <f>MAX(Validation!T88:T88)</f>
        <v>0</v>
      </c>
      <c r="Q40" s="347"/>
      <c r="R40" s="493">
        <f aca="true" t="shared" si="7" ref="R40:Z40">IF(AND(D40&gt;=0,D40&lt;=D38),0,1)</f>
        <v>0</v>
      </c>
      <c r="S40" s="493">
        <f t="shared" si="7"/>
        <v>0</v>
      </c>
      <c r="T40" s="493">
        <f t="shared" si="7"/>
        <v>0</v>
      </c>
      <c r="U40" s="493">
        <f t="shared" si="7"/>
        <v>0</v>
      </c>
      <c r="V40" s="493">
        <f t="shared" si="7"/>
        <v>0</v>
      </c>
      <c r="W40" s="493">
        <f t="shared" si="7"/>
        <v>0</v>
      </c>
      <c r="X40" s="493">
        <f t="shared" si="7"/>
        <v>0</v>
      </c>
      <c r="Y40" s="493">
        <f t="shared" si="7"/>
        <v>0</v>
      </c>
      <c r="Z40" s="493">
        <f t="shared" si="7"/>
        <v>0</v>
      </c>
      <c r="AA40" s="494">
        <f>IF(ISNUMBER(SUM(R40:Z40))=TRUE,SUM(R40:Z40),1)</f>
        <v>0</v>
      </c>
      <c r="AB40" s="493"/>
      <c r="AC40" s="493">
        <f>IF(ISNUMBER(Validation!D92),1,0)</f>
        <v>0</v>
      </c>
      <c r="AD40" s="493">
        <f>IF(ISNUMBER(Validation!E92),1,0)</f>
        <v>0</v>
      </c>
      <c r="AE40" s="493">
        <f>IF(ISNUMBER(Validation!F92),1,0)</f>
        <v>0</v>
      </c>
      <c r="AF40" s="493">
        <f>IF(ISNUMBER(Validation!G92),1,0)</f>
        <v>0</v>
      </c>
      <c r="AG40" s="493">
        <f>IF(ISNUMBER(Validation!H92),1,0)</f>
        <v>0</v>
      </c>
      <c r="AH40" s="493">
        <f>IF(ISNUMBER(Validation!I92),1,0)</f>
        <v>0</v>
      </c>
      <c r="AI40" s="493">
        <f>IF(ISNUMBER(Validation!J92),1,0)</f>
        <v>0</v>
      </c>
      <c r="AJ40" s="493">
        <f>IF(ISNUMBER(Validation!K92),1,0)</f>
        <v>0</v>
      </c>
      <c r="AK40" s="493">
        <f>IF(ISNUMBER(Validation!L92),1,0)</f>
        <v>0</v>
      </c>
      <c r="AL40" s="493">
        <f>IF(ISNUMBER(Validation!M92),1,0)</f>
        <v>0</v>
      </c>
    </row>
    <row r="41" spans="1:38" s="184" customFormat="1" ht="15" customHeight="1" thickBot="1">
      <c r="A41" s="623"/>
      <c r="B41" s="700"/>
      <c r="C41" s="729"/>
      <c r="D41" s="685">
        <f>IF(AA40&gt;0,"Please amend invalid data entry",IF(ISNUMBER(P40)=FALSE,"Please check figures in line above",IF(P40=1,"Explanation has been added",IF(P40=0,"",IF(P40=2,"When all fields above are complete, please click here to supply any explanations",IF(P40=3,"Please click here to delete explanation",""))))))</f>
      </c>
      <c r="E41" s="685"/>
      <c r="F41" s="685"/>
      <c r="G41" s="685"/>
      <c r="H41" s="685"/>
      <c r="I41" s="685"/>
      <c r="J41" s="685"/>
      <c r="K41" s="685"/>
      <c r="L41" s="685"/>
      <c r="M41" s="654"/>
      <c r="N41" s="190"/>
      <c r="O41" s="344"/>
      <c r="P41" s="399"/>
      <c r="Q41" s="347"/>
      <c r="R41" s="493"/>
      <c r="S41" s="493"/>
      <c r="T41" s="493"/>
      <c r="U41" s="493"/>
      <c r="V41" s="493"/>
      <c r="W41" s="493"/>
      <c r="X41" s="493"/>
      <c r="Y41" s="493"/>
      <c r="Z41" s="493"/>
      <c r="AA41" s="493"/>
      <c r="AB41" s="493"/>
      <c r="AC41" s="493"/>
      <c r="AD41" s="493"/>
      <c r="AE41" s="493"/>
      <c r="AF41" s="493"/>
      <c r="AG41" s="493"/>
      <c r="AH41" s="493"/>
      <c r="AI41" s="493"/>
      <c r="AJ41" s="493"/>
      <c r="AK41" s="493"/>
      <c r="AL41" s="493"/>
    </row>
    <row r="42" spans="1:38" s="354" customFormat="1" ht="55.5" customHeight="1" thickBot="1">
      <c r="A42" s="625"/>
      <c r="B42" s="699" t="s">
        <v>1111</v>
      </c>
      <c r="C42" s="653"/>
      <c r="D42" s="50">
        <v>0</v>
      </c>
      <c r="E42" s="50">
        <v>7</v>
      </c>
      <c r="F42" s="50">
        <v>80</v>
      </c>
      <c r="G42" s="50">
        <v>254</v>
      </c>
      <c r="H42" s="50">
        <v>256</v>
      </c>
      <c r="I42" s="50">
        <v>163</v>
      </c>
      <c r="J42" s="50">
        <v>55</v>
      </c>
      <c r="K42" s="50">
        <v>22</v>
      </c>
      <c r="L42" s="50">
        <v>2</v>
      </c>
      <c r="M42" s="515">
        <f>SUM(D42:L42)</f>
        <v>839</v>
      </c>
      <c r="N42" s="437"/>
      <c r="O42" s="353"/>
      <c r="P42" s="399">
        <f>MAX(Validation!T98:T106)</f>
        <v>0</v>
      </c>
      <c r="Q42" s="347"/>
      <c r="R42" s="493">
        <f>IF(AND(D42&gt;=0,D42&lt;=D38),0,1)</f>
        <v>0</v>
      </c>
      <c r="S42" s="493">
        <f aca="true" t="shared" si="8" ref="S42:Z42">IF(AND(E42&gt;=0,E42&lt;=E38),0,1)</f>
        <v>0</v>
      </c>
      <c r="T42" s="493">
        <f t="shared" si="8"/>
        <v>0</v>
      </c>
      <c r="U42" s="493">
        <f t="shared" si="8"/>
        <v>0</v>
      </c>
      <c r="V42" s="493">
        <f t="shared" si="8"/>
        <v>0</v>
      </c>
      <c r="W42" s="493">
        <f t="shared" si="8"/>
        <v>0</v>
      </c>
      <c r="X42" s="493">
        <f t="shared" si="8"/>
        <v>0</v>
      </c>
      <c r="Y42" s="493">
        <f t="shared" si="8"/>
        <v>0</v>
      </c>
      <c r="Z42" s="493">
        <f t="shared" si="8"/>
        <v>0</v>
      </c>
      <c r="AA42" s="494">
        <f>IF(ISNUMBER(SUM(R42:Z42))=TRUE,SUM(R42:Z42),1)</f>
        <v>0</v>
      </c>
      <c r="AB42" s="493"/>
      <c r="AC42" s="493">
        <f>IF(ISNUMBER(Validation!D102),1,IF(ISNUMBER(Validation!D110),1,0))</f>
        <v>0</v>
      </c>
      <c r="AD42" s="493">
        <f>IF(ISNUMBER(Validation!E102),1,IF(ISNUMBER(Validation!E110),1,0))</f>
        <v>0</v>
      </c>
      <c r="AE42" s="493">
        <f>IF(ISNUMBER(Validation!F102),1,IF(ISNUMBER(Validation!F110),1,0))</f>
        <v>0</v>
      </c>
      <c r="AF42" s="493">
        <f>IF(ISNUMBER(Validation!G102),1,IF(ISNUMBER(Validation!G110),1,0))</f>
        <v>0</v>
      </c>
      <c r="AG42" s="493">
        <f>IF(ISNUMBER(Validation!H102),1,IF(ISNUMBER(Validation!H110),1,0))</f>
        <v>0</v>
      </c>
      <c r="AH42" s="493">
        <f>IF(ISNUMBER(Validation!I102),1,IF(ISNUMBER(Validation!I110),1,0))</f>
        <v>0</v>
      </c>
      <c r="AI42" s="493">
        <f>IF(ISNUMBER(Validation!J102),1,IF(ISNUMBER(Validation!J110),1,0))</f>
        <v>0</v>
      </c>
      <c r="AJ42" s="493">
        <f>IF(ISNUMBER(Validation!K102),1,IF(ISNUMBER(Validation!K110),1,0))</f>
        <v>0</v>
      </c>
      <c r="AK42" s="493">
        <f>IF(ISNUMBER(Validation!L102),1,IF(ISNUMBER(Validation!L110),1,0))</f>
        <v>0</v>
      </c>
      <c r="AL42" s="493">
        <f>IF(ISNUMBER(Validation!M102),1,IF(ISNUMBER(Validation!M110),1,0))</f>
        <v>0</v>
      </c>
    </row>
    <row r="43" spans="1:38" s="184" customFormat="1" ht="15" customHeight="1" thickBot="1">
      <c r="A43" s="623"/>
      <c r="B43" s="438"/>
      <c r="C43" s="439"/>
      <c r="D43" s="685">
        <f>IF(AA42&gt;0,"Please amend invalid data entry",IF(ISNUMBER(P42)=FALSE,"Please check figures in line above",IF(P42=1,"Explanation has been added",IF(P42=0,"",IF(P42=2,"When all fields above are complete, please click here to supply any explanations",IF(P42=3,"Please click here to delete explanation",""))))))</f>
      </c>
      <c r="E43" s="685"/>
      <c r="F43" s="685"/>
      <c r="G43" s="685"/>
      <c r="H43" s="685"/>
      <c r="I43" s="685"/>
      <c r="J43" s="685"/>
      <c r="K43" s="685"/>
      <c r="L43" s="685"/>
      <c r="M43" s="654"/>
      <c r="N43" s="190"/>
      <c r="O43" s="344"/>
      <c r="P43" s="399"/>
      <c r="Q43" s="347"/>
      <c r="R43" s="493"/>
      <c r="S43" s="493"/>
      <c r="T43" s="493"/>
      <c r="U43" s="493"/>
      <c r="V43" s="493"/>
      <c r="W43" s="493"/>
      <c r="X43" s="493"/>
      <c r="Y43" s="493"/>
      <c r="Z43" s="493"/>
      <c r="AA43" s="493"/>
      <c r="AB43" s="493"/>
      <c r="AC43" s="493"/>
      <c r="AD43" s="493"/>
      <c r="AE43" s="493"/>
      <c r="AF43" s="493"/>
      <c r="AG43" s="493"/>
      <c r="AH43" s="493"/>
      <c r="AI43" s="493"/>
      <c r="AJ43" s="493"/>
      <c r="AK43" s="493"/>
      <c r="AL43" s="488"/>
    </row>
    <row r="44" spans="1:38" s="354" customFormat="1" ht="55.5" customHeight="1" thickBot="1">
      <c r="A44" s="622"/>
      <c r="B44" s="699" t="s">
        <v>1112</v>
      </c>
      <c r="C44" s="653"/>
      <c r="D44" s="50">
        <v>0</v>
      </c>
      <c r="E44" s="50">
        <v>0</v>
      </c>
      <c r="F44" s="50">
        <v>11</v>
      </c>
      <c r="G44" s="50">
        <v>18</v>
      </c>
      <c r="H44" s="50">
        <v>32</v>
      </c>
      <c r="I44" s="50">
        <v>28</v>
      </c>
      <c r="J44" s="50">
        <v>38</v>
      </c>
      <c r="K44" s="50">
        <v>35</v>
      </c>
      <c r="L44" s="50">
        <v>15</v>
      </c>
      <c r="M44" s="515">
        <f>SUM(D44:L44)</f>
        <v>177</v>
      </c>
      <c r="N44" s="437"/>
      <c r="O44" s="353"/>
      <c r="P44" s="399">
        <f>MAX(Validation!T116:T124)</f>
        <v>0</v>
      </c>
      <c r="Q44" s="347"/>
      <c r="R44" s="493">
        <f>IF(AND(D44&gt;=0,D44&lt;=D38),0,1)</f>
        <v>0</v>
      </c>
      <c r="S44" s="493">
        <f aca="true" t="shared" si="9" ref="S44:Z44">IF(AND(E44&gt;=0,E44&lt;=E38),0,1)</f>
        <v>0</v>
      </c>
      <c r="T44" s="493">
        <f t="shared" si="9"/>
        <v>0</v>
      </c>
      <c r="U44" s="493">
        <f t="shared" si="9"/>
        <v>0</v>
      </c>
      <c r="V44" s="493">
        <f t="shared" si="9"/>
        <v>0</v>
      </c>
      <c r="W44" s="493">
        <f t="shared" si="9"/>
        <v>0</v>
      </c>
      <c r="X44" s="493">
        <f t="shared" si="9"/>
        <v>0</v>
      </c>
      <c r="Y44" s="493">
        <f t="shared" si="9"/>
        <v>0</v>
      </c>
      <c r="Z44" s="493">
        <f t="shared" si="9"/>
        <v>0</v>
      </c>
      <c r="AA44" s="494">
        <f>IF(ISNUMBER(SUM(R44:Z44))=TRUE,SUM(R44:Z44),1)</f>
        <v>0</v>
      </c>
      <c r="AB44" s="493"/>
      <c r="AC44" s="493">
        <f>IF(ISNUMBER(Validation!D120),1,IF(ISNUMBER(Validation!D128),1,0))</f>
        <v>0</v>
      </c>
      <c r="AD44" s="493">
        <f>IF(ISNUMBER(Validation!E120),1,IF(ISNUMBER(Validation!E128),1,0))</f>
        <v>0</v>
      </c>
      <c r="AE44" s="493">
        <f>IF(ISNUMBER(Validation!F120),1,IF(ISNUMBER(Validation!F128),1,0))</f>
        <v>0</v>
      </c>
      <c r="AF44" s="493">
        <f>IF(ISNUMBER(Validation!G120),1,IF(ISNUMBER(Validation!G128),1,0))</f>
        <v>0</v>
      </c>
      <c r="AG44" s="493">
        <f>IF(ISNUMBER(Validation!H120),1,IF(ISNUMBER(Validation!H128),1,0))</f>
        <v>0</v>
      </c>
      <c r="AH44" s="493">
        <f>IF(ISNUMBER(Validation!I120),1,IF(ISNUMBER(Validation!I128),1,0))</f>
        <v>0</v>
      </c>
      <c r="AI44" s="493">
        <f>IF(ISNUMBER(Validation!J120),1,IF(ISNUMBER(Validation!J128),1,0))</f>
        <v>0</v>
      </c>
      <c r="AJ44" s="493">
        <f>IF(ISNUMBER(Validation!K120),1,IF(ISNUMBER(Validation!K128),1,0))</f>
        <v>0</v>
      </c>
      <c r="AK44" s="493">
        <f>IF(ISNUMBER(Validation!L120),1,IF(ISNUMBER(Validation!L128),1,0))</f>
        <v>0</v>
      </c>
      <c r="AL44" s="493">
        <f>IF(ISNUMBER(Validation!M120),1,IF(ISNUMBER(Validation!M128),1,0))</f>
        <v>0</v>
      </c>
    </row>
    <row r="45" spans="1:38" s="184" customFormat="1" ht="15" customHeight="1" thickBot="1">
      <c r="A45" s="623"/>
      <c r="B45" s="432"/>
      <c r="C45" s="433"/>
      <c r="D45" s="685">
        <f>IF(AA44&gt;0,"Please amend invalid data entry",IF(ISNUMBER(P44)=FALSE,"Please check figures in line above",IF(P44=1,"Explanation has been added",IF(P44=0,"",IF(P44=2,"When all fields above are complete, please click here to supply any explanations",IF(P44=3,"Please click here to delete explanation",""))))))</f>
      </c>
      <c r="E45" s="685"/>
      <c r="F45" s="685"/>
      <c r="G45" s="685"/>
      <c r="H45" s="685"/>
      <c r="I45" s="685"/>
      <c r="J45" s="685"/>
      <c r="K45" s="685"/>
      <c r="L45" s="685"/>
      <c r="M45" s="654"/>
      <c r="N45" s="190"/>
      <c r="O45" s="344"/>
      <c r="P45" s="399"/>
      <c r="Q45" s="347"/>
      <c r="R45" s="493"/>
      <c r="S45" s="493"/>
      <c r="T45" s="493"/>
      <c r="U45" s="493"/>
      <c r="V45" s="493"/>
      <c r="W45" s="493"/>
      <c r="X45" s="493"/>
      <c r="Y45" s="493"/>
      <c r="Z45" s="493"/>
      <c r="AA45" s="493"/>
      <c r="AB45" s="493"/>
      <c r="AC45" s="493"/>
      <c r="AD45" s="493"/>
      <c r="AE45" s="493"/>
      <c r="AF45" s="493"/>
      <c r="AG45" s="493"/>
      <c r="AH45" s="493"/>
      <c r="AI45" s="493"/>
      <c r="AJ45" s="493"/>
      <c r="AK45" s="493"/>
      <c r="AL45" s="488"/>
    </row>
    <row r="46" spans="1:38" s="184" customFormat="1" ht="75" customHeight="1" thickBot="1">
      <c r="A46" s="624"/>
      <c r="B46" s="699" t="s">
        <v>983</v>
      </c>
      <c r="C46" s="653"/>
      <c r="D46" s="49"/>
      <c r="E46" s="50">
        <v>104</v>
      </c>
      <c r="F46" s="50">
        <v>64</v>
      </c>
      <c r="G46" s="50">
        <v>276</v>
      </c>
      <c r="H46" s="50">
        <v>185</v>
      </c>
      <c r="I46" s="50">
        <v>150</v>
      </c>
      <c r="J46" s="50">
        <v>55</v>
      </c>
      <c r="K46" s="50">
        <v>41</v>
      </c>
      <c r="L46" s="50">
        <v>14</v>
      </c>
      <c r="M46" s="515">
        <f>SUM(D46:L46)</f>
        <v>889</v>
      </c>
      <c r="N46" s="190"/>
      <c r="O46" s="344"/>
      <c r="P46" s="399">
        <f>MAX(Validation!T135:T143)</f>
        <v>1</v>
      </c>
      <c r="Q46" s="347"/>
      <c r="R46" s="492"/>
      <c r="S46" s="493">
        <f aca="true" t="shared" si="10" ref="S46:Z46">IF(AND(E46&gt;=0,E46&lt;=E38),0,1)</f>
        <v>0</v>
      </c>
      <c r="T46" s="493">
        <f t="shared" si="10"/>
        <v>0</v>
      </c>
      <c r="U46" s="493">
        <f t="shared" si="10"/>
        <v>0</v>
      </c>
      <c r="V46" s="493">
        <f t="shared" si="10"/>
        <v>0</v>
      </c>
      <c r="W46" s="493">
        <f t="shared" si="10"/>
        <v>0</v>
      </c>
      <c r="X46" s="493">
        <f t="shared" si="10"/>
        <v>0</v>
      </c>
      <c r="Y46" s="493">
        <f t="shared" si="10"/>
        <v>0</v>
      </c>
      <c r="Z46" s="493">
        <f t="shared" si="10"/>
        <v>0</v>
      </c>
      <c r="AA46" s="494">
        <f>IF(ISNUMBER(SUM(R46:Z46))=TRUE,SUM(R46:Z46),1)</f>
        <v>0</v>
      </c>
      <c r="AB46" s="493"/>
      <c r="AC46" s="492"/>
      <c r="AD46" s="493">
        <f>IF(ISNUMBER(Validation!E139),1,IF(ISNUMBER(Validation!E147),1,0))</f>
        <v>1</v>
      </c>
      <c r="AE46" s="493">
        <f>IF(ISNUMBER(Validation!F139),1,IF(ISNUMBER(Validation!F147),1,0))</f>
        <v>1</v>
      </c>
      <c r="AF46" s="493">
        <f>IF(ISNUMBER(Validation!G139),1,IF(ISNUMBER(Validation!G147),1,0))</f>
        <v>0</v>
      </c>
      <c r="AG46" s="493">
        <f>IF(ISNUMBER(Validation!H139),1,IF(ISNUMBER(Validation!H147),1,0))</f>
        <v>0</v>
      </c>
      <c r="AH46" s="493">
        <f>IF(ISNUMBER(Validation!I139),1,IF(ISNUMBER(Validation!I147),1,0))</f>
        <v>0</v>
      </c>
      <c r="AI46" s="493">
        <f>IF(ISNUMBER(Validation!J139),1,IF(ISNUMBER(Validation!J147),1,0))</f>
        <v>0</v>
      </c>
      <c r="AJ46" s="493">
        <f>IF(ISNUMBER(Validation!K139),1,IF(ISNUMBER(Validation!K147),1,0))</f>
        <v>0</v>
      </c>
      <c r="AK46" s="493">
        <f>IF(ISNUMBER(Validation!L139),1,IF(ISNUMBER(Validation!L147),1,0))</f>
        <v>0</v>
      </c>
      <c r="AL46" s="493">
        <f>IF(ISNUMBER(Validation!M139),1,IF(ISNUMBER(Validation!M147),1,0))</f>
        <v>0</v>
      </c>
    </row>
    <row r="47" spans="1:38" s="184" customFormat="1" ht="15" customHeight="1" thickBot="1">
      <c r="A47" s="623"/>
      <c r="B47" s="438"/>
      <c r="C47" s="439"/>
      <c r="D47" s="685" t="str">
        <f>IF(AA46&gt;0,"Please amend invalid data entry",IF(ISNUMBER(P46)=FALSE,"Please check figures in line above",IF(P46=1,"Explanation has been added",IF(P46=0,"",IF(P46=2,"When all fields above are complete, please click here to supply any explanations",IF(P46=3,"Please click here to delete explanation",""))))))</f>
        <v>Explanation has been added</v>
      </c>
      <c r="E47" s="685"/>
      <c r="F47" s="685"/>
      <c r="G47" s="685"/>
      <c r="H47" s="685"/>
      <c r="I47" s="685"/>
      <c r="J47" s="685"/>
      <c r="K47" s="685"/>
      <c r="L47" s="685"/>
      <c r="M47" s="654"/>
      <c r="N47" s="190"/>
      <c r="O47" s="344"/>
      <c r="P47" s="399"/>
      <c r="Q47" s="399"/>
      <c r="R47" s="399"/>
      <c r="S47" s="399"/>
      <c r="T47" s="399"/>
      <c r="U47" s="399"/>
      <c r="V47" s="399"/>
      <c r="W47" s="493"/>
      <c r="X47" s="493"/>
      <c r="Y47" s="493"/>
      <c r="Z47" s="493"/>
      <c r="AA47" s="493"/>
      <c r="AB47" s="493"/>
      <c r="AC47" s="495"/>
      <c r="AD47" s="493"/>
      <c r="AE47" s="493"/>
      <c r="AF47" s="493"/>
      <c r="AG47" s="493"/>
      <c r="AH47" s="493"/>
      <c r="AI47" s="493"/>
      <c r="AJ47" s="493"/>
      <c r="AK47" s="493"/>
      <c r="AL47" s="488"/>
    </row>
    <row r="48" spans="1:38" s="184" customFormat="1" ht="39.75" customHeight="1" thickBot="1">
      <c r="A48" s="624"/>
      <c r="B48" s="699" t="s">
        <v>1113</v>
      </c>
      <c r="C48" s="653"/>
      <c r="D48" s="49"/>
      <c r="E48" s="50">
        <v>0</v>
      </c>
      <c r="F48" s="50">
        <v>0</v>
      </c>
      <c r="G48" s="50">
        <v>0</v>
      </c>
      <c r="H48" s="50">
        <v>0</v>
      </c>
      <c r="I48" s="50">
        <v>0</v>
      </c>
      <c r="J48" s="50">
        <v>0</v>
      </c>
      <c r="K48" s="50">
        <v>0</v>
      </c>
      <c r="L48" s="50">
        <v>0</v>
      </c>
      <c r="M48" s="515">
        <f>SUM(D48:L48)</f>
        <v>0</v>
      </c>
      <c r="N48" s="190"/>
      <c r="O48" s="344"/>
      <c r="P48" s="399">
        <f>MAX(Validation!T152:T152)</f>
        <v>0</v>
      </c>
      <c r="Q48" s="347"/>
      <c r="R48" s="492"/>
      <c r="S48" s="493">
        <f aca="true" t="shared" si="11" ref="S48:Z48">IF(AND(E48&gt;=0,E48&lt;=E38),0,1)</f>
        <v>0</v>
      </c>
      <c r="T48" s="493">
        <f t="shared" si="11"/>
        <v>0</v>
      </c>
      <c r="U48" s="493">
        <f t="shared" si="11"/>
        <v>0</v>
      </c>
      <c r="V48" s="493">
        <f t="shared" si="11"/>
        <v>0</v>
      </c>
      <c r="W48" s="493">
        <f t="shared" si="11"/>
        <v>0</v>
      </c>
      <c r="X48" s="493">
        <f t="shared" si="11"/>
        <v>0</v>
      </c>
      <c r="Y48" s="493">
        <f t="shared" si="11"/>
        <v>0</v>
      </c>
      <c r="Z48" s="493">
        <f t="shared" si="11"/>
        <v>0</v>
      </c>
      <c r="AA48" s="494">
        <f>IF(ISNUMBER(SUM(R48:Z48))=TRUE,SUM(R48:Z48),1)</f>
        <v>0</v>
      </c>
      <c r="AB48" s="493"/>
      <c r="AC48" s="492"/>
      <c r="AD48" s="493">
        <f>IF(ISNUMBER(Validation!E156),1,0)</f>
        <v>0</v>
      </c>
      <c r="AE48" s="493">
        <f>IF(ISNUMBER(Validation!F156),1,0)</f>
        <v>0</v>
      </c>
      <c r="AF48" s="493">
        <f>IF(ISNUMBER(Validation!G156),1,0)</f>
        <v>0</v>
      </c>
      <c r="AG48" s="493">
        <f>IF(ISNUMBER(Validation!H156),1,0)</f>
        <v>0</v>
      </c>
      <c r="AH48" s="493">
        <f>IF(ISNUMBER(Validation!I156),1,0)</f>
        <v>0</v>
      </c>
      <c r="AI48" s="493">
        <f>IF(ISNUMBER(Validation!J156),1,0)</f>
        <v>0</v>
      </c>
      <c r="AJ48" s="493">
        <f>IF(ISNUMBER(Validation!K156),1,0)</f>
        <v>0</v>
      </c>
      <c r="AK48" s="493">
        <f>IF(ISNUMBER(Validation!L156),1,0)</f>
        <v>0</v>
      </c>
      <c r="AL48" s="493">
        <f>IF(ISNUMBER(Validation!M156),1,0)</f>
        <v>0</v>
      </c>
    </row>
    <row r="49" spans="1:38" s="184" customFormat="1" ht="15" customHeight="1" thickBot="1">
      <c r="A49" s="188"/>
      <c r="B49" s="438"/>
      <c r="C49" s="439"/>
      <c r="D49" s="654">
        <f>IF(AA48&gt;0,"Please amend invalid data entry",IF(ISNUMBER(P48)=FALSE,"Please check figures in line above",IF(P48=1,"Explanation has been added",IF(P48=0,"",IF(P48=2,"When all fields above are complete, please click here to supply any explanations",IF(P48=3,"Please click here to delete explanation",""))))))</f>
      </c>
      <c r="E49" s="654"/>
      <c r="F49" s="654"/>
      <c r="G49" s="654"/>
      <c r="H49" s="654"/>
      <c r="I49" s="654"/>
      <c r="J49" s="654"/>
      <c r="K49" s="654"/>
      <c r="L49" s="654"/>
      <c r="M49" s="654"/>
      <c r="N49" s="190"/>
      <c r="O49" s="344"/>
      <c r="P49" s="399"/>
      <c r="Q49" s="399"/>
      <c r="R49" s="399"/>
      <c r="S49" s="399"/>
      <c r="T49" s="399"/>
      <c r="U49" s="493"/>
      <c r="V49" s="493"/>
      <c r="W49" s="493"/>
      <c r="X49" s="493"/>
      <c r="Y49" s="493"/>
      <c r="Z49" s="493"/>
      <c r="AA49" s="493"/>
      <c r="AB49" s="493"/>
      <c r="AC49" s="400"/>
      <c r="AD49" s="493"/>
      <c r="AE49" s="493"/>
      <c r="AF49" s="493"/>
      <c r="AG49" s="493"/>
      <c r="AH49" s="493"/>
      <c r="AI49" s="493"/>
      <c r="AJ49" s="493"/>
      <c r="AK49" s="493"/>
      <c r="AL49" s="488"/>
    </row>
    <row r="50" spans="1:38" s="184" customFormat="1" ht="55.5" customHeight="1" thickBot="1">
      <c r="A50" s="256"/>
      <c r="B50" s="699" t="s">
        <v>984</v>
      </c>
      <c r="C50" s="700"/>
      <c r="D50" s="511">
        <f aca="true" t="shared" si="12" ref="D50:L50">D46+D44+D48</f>
        <v>0</v>
      </c>
      <c r="E50" s="511">
        <f t="shared" si="12"/>
        <v>104</v>
      </c>
      <c r="F50" s="511">
        <f t="shared" si="12"/>
        <v>75</v>
      </c>
      <c r="G50" s="511">
        <f t="shared" si="12"/>
        <v>294</v>
      </c>
      <c r="H50" s="511">
        <f t="shared" si="12"/>
        <v>217</v>
      </c>
      <c r="I50" s="511">
        <f t="shared" si="12"/>
        <v>178</v>
      </c>
      <c r="J50" s="511">
        <f t="shared" si="12"/>
        <v>93</v>
      </c>
      <c r="K50" s="511">
        <f t="shared" si="12"/>
        <v>76</v>
      </c>
      <c r="L50" s="511">
        <f t="shared" si="12"/>
        <v>29</v>
      </c>
      <c r="M50" s="511">
        <f>SUM(D50:L50)</f>
        <v>1066</v>
      </c>
      <c r="N50" s="190"/>
      <c r="O50" s="344"/>
      <c r="P50" s="493"/>
      <c r="Q50" s="493"/>
      <c r="R50" s="493"/>
      <c r="S50" s="493"/>
      <c r="T50" s="493"/>
      <c r="U50" s="493"/>
      <c r="V50" s="493"/>
      <c r="W50" s="493"/>
      <c r="X50" s="493"/>
      <c r="Y50" s="493"/>
      <c r="Z50" s="493"/>
      <c r="AA50" s="493"/>
      <c r="AB50" s="493"/>
      <c r="AD50" s="493"/>
      <c r="AE50" s="493"/>
      <c r="AF50" s="493"/>
      <c r="AG50" s="493"/>
      <c r="AH50" s="493"/>
      <c r="AI50" s="493"/>
      <c r="AJ50" s="493"/>
      <c r="AK50" s="493"/>
      <c r="AL50" s="488"/>
    </row>
    <row r="51" spans="1:38" s="184" customFormat="1" ht="15" customHeight="1" thickBot="1">
      <c r="A51" s="188"/>
      <c r="B51" s="438"/>
      <c r="C51" s="439"/>
      <c r="D51" s="52"/>
      <c r="E51" s="52"/>
      <c r="F51" s="52"/>
      <c r="G51" s="52"/>
      <c r="H51" s="52"/>
      <c r="I51" s="52"/>
      <c r="J51" s="52"/>
      <c r="K51" s="52"/>
      <c r="L51" s="52"/>
      <c r="M51" s="516"/>
      <c r="N51" s="190"/>
      <c r="O51" s="344"/>
      <c r="P51" s="399"/>
      <c r="Q51" s="399"/>
      <c r="R51" s="399"/>
      <c r="S51" s="399"/>
      <c r="T51" s="399"/>
      <c r="U51" s="493"/>
      <c r="V51" s="493"/>
      <c r="W51" s="493"/>
      <c r="X51" s="493"/>
      <c r="Y51" s="493"/>
      <c r="Z51" s="493"/>
      <c r="AA51" s="493"/>
      <c r="AB51" s="493"/>
      <c r="AC51" s="400"/>
      <c r="AD51" s="493"/>
      <c r="AE51" s="493"/>
      <c r="AF51" s="493"/>
      <c r="AG51" s="493"/>
      <c r="AH51" s="493"/>
      <c r="AI51" s="493"/>
      <c r="AJ51" s="493"/>
      <c r="AK51" s="493"/>
      <c r="AL51" s="488"/>
    </row>
    <row r="52" spans="1:38" s="184" customFormat="1" ht="39.75" customHeight="1" thickBot="1">
      <c r="A52" s="256"/>
      <c r="B52" s="699" t="s">
        <v>0</v>
      </c>
      <c r="C52" s="653"/>
      <c r="D52" s="49" t="s">
        <v>920</v>
      </c>
      <c r="E52" s="50">
        <v>0</v>
      </c>
      <c r="F52" s="50">
        <v>0</v>
      </c>
      <c r="G52" s="50">
        <v>0</v>
      </c>
      <c r="H52" s="50">
        <v>0</v>
      </c>
      <c r="I52" s="50">
        <v>0</v>
      </c>
      <c r="J52" s="50">
        <v>0</v>
      </c>
      <c r="K52" s="50">
        <v>0</v>
      </c>
      <c r="L52" s="50">
        <v>0</v>
      </c>
      <c r="M52" s="515">
        <f>SUM(D52:L52)</f>
        <v>0</v>
      </c>
      <c r="N52" s="190"/>
      <c r="O52" s="344"/>
      <c r="P52" s="399">
        <f>MAX(Validation!T162:T162)</f>
        <v>0</v>
      </c>
      <c r="Q52" s="347"/>
      <c r="R52" s="492"/>
      <c r="S52" s="493">
        <f>IF(AND(E52&gt;=0,E52&lt;=E38),0,1)</f>
        <v>0</v>
      </c>
      <c r="T52" s="493">
        <f aca="true" t="shared" si="13" ref="T52:Z52">IF(AND(F52&gt;=0,F52&lt;=F38),0,1)</f>
        <v>0</v>
      </c>
      <c r="U52" s="493">
        <f t="shared" si="13"/>
        <v>0</v>
      </c>
      <c r="V52" s="493">
        <f t="shared" si="13"/>
        <v>0</v>
      </c>
      <c r="W52" s="493">
        <f t="shared" si="13"/>
        <v>0</v>
      </c>
      <c r="X52" s="493">
        <f t="shared" si="13"/>
        <v>0</v>
      </c>
      <c r="Y52" s="493">
        <f t="shared" si="13"/>
        <v>0</v>
      </c>
      <c r="Z52" s="493">
        <f t="shared" si="13"/>
        <v>0</v>
      </c>
      <c r="AA52" s="494">
        <f>IF(ISNUMBER(SUM(R52:Z52))=TRUE,SUM(R52:Z52),1)</f>
        <v>0</v>
      </c>
      <c r="AB52" s="493"/>
      <c r="AC52" s="492"/>
      <c r="AD52" s="493">
        <f>IF(ISNUMBER(Validation!E166),1,0)</f>
        <v>0</v>
      </c>
      <c r="AE52" s="493">
        <f>IF(ISNUMBER(Validation!F166),1,0)</f>
        <v>0</v>
      </c>
      <c r="AF52" s="493">
        <f>IF(ISNUMBER(Validation!G166),1,0)</f>
        <v>0</v>
      </c>
      <c r="AG52" s="493">
        <f>IF(ISNUMBER(Validation!H166),1,0)</f>
        <v>0</v>
      </c>
      <c r="AH52" s="493">
        <f>IF(ISNUMBER(Validation!I166),1,0)</f>
        <v>0</v>
      </c>
      <c r="AI52" s="493">
        <f>IF(ISNUMBER(Validation!J166),1,0)</f>
        <v>0</v>
      </c>
      <c r="AJ52" s="493">
        <f>IF(ISNUMBER(Validation!K166),1,0)</f>
        <v>0</v>
      </c>
      <c r="AK52" s="493">
        <f>IF(ISNUMBER(Validation!L166),1,0)</f>
        <v>0</v>
      </c>
      <c r="AL52" s="493">
        <f>IF(ISNUMBER(Validation!M166),1,0)</f>
        <v>0</v>
      </c>
    </row>
    <row r="53" spans="1:38" s="184" customFormat="1" ht="18.75" thickBot="1">
      <c r="A53" s="188"/>
      <c r="B53" s="440"/>
      <c r="C53" s="441"/>
      <c r="D53" s="685">
        <f>IF(AA52&gt;0,"Please amend invalid data entry",IF(ISNUMBER(P52)=FALSE,"Please check figures in line above",IF(P52=1,"Explanation has been added",IF(P52=0,"",IF(P52=2,"When all fields above are complete, please click here to supply any explanations",IF(P52=3,"Please Please click here to delete explanation",""))))))</f>
      </c>
      <c r="E53" s="685"/>
      <c r="F53" s="685"/>
      <c r="G53" s="685"/>
      <c r="H53" s="685"/>
      <c r="I53" s="685"/>
      <c r="J53" s="685"/>
      <c r="K53" s="685"/>
      <c r="L53" s="685"/>
      <c r="M53" s="654"/>
      <c r="N53" s="190"/>
      <c r="O53" s="344"/>
      <c r="P53" s="399"/>
      <c r="Q53" s="399"/>
      <c r="R53" s="399"/>
      <c r="S53" s="493"/>
      <c r="T53" s="493"/>
      <c r="U53" s="493"/>
      <c r="V53" s="493"/>
      <c r="W53" s="493"/>
      <c r="X53" s="493"/>
      <c r="Y53" s="493"/>
      <c r="Z53" s="493"/>
      <c r="AA53" s="493"/>
      <c r="AB53" s="493"/>
      <c r="AC53" s="400"/>
      <c r="AD53" s="493"/>
      <c r="AE53" s="493"/>
      <c r="AF53" s="493"/>
      <c r="AG53" s="493"/>
      <c r="AH53" s="493"/>
      <c r="AI53" s="493"/>
      <c r="AJ53" s="493"/>
      <c r="AK53" s="493"/>
      <c r="AL53" s="488"/>
    </row>
    <row r="54" spans="1:38" s="184" customFormat="1" ht="75" customHeight="1" thickBot="1">
      <c r="A54" s="261"/>
      <c r="B54" s="430" t="s">
        <v>1</v>
      </c>
      <c r="C54" s="53">
        <v>10</v>
      </c>
      <c r="D54" s="49"/>
      <c r="E54" s="50">
        <v>280</v>
      </c>
      <c r="F54" s="50">
        <v>92</v>
      </c>
      <c r="G54" s="50">
        <v>343</v>
      </c>
      <c r="H54" s="50">
        <v>219</v>
      </c>
      <c r="I54" s="50">
        <v>140</v>
      </c>
      <c r="J54" s="50">
        <v>42</v>
      </c>
      <c r="K54" s="50">
        <v>38</v>
      </c>
      <c r="L54" s="50">
        <v>8</v>
      </c>
      <c r="M54" s="515">
        <f>SUM(D54:L54)</f>
        <v>1162</v>
      </c>
      <c r="N54" s="190"/>
      <c r="O54" s="344"/>
      <c r="P54" s="399">
        <f>MAX(Validation!T172:T172)</f>
        <v>1</v>
      </c>
      <c r="Q54" s="509">
        <f>IF(SUM(E54:L54)=0,0,IF(AND(C54&gt;0,C54&lt;50),0,1))</f>
        <v>0</v>
      </c>
      <c r="S54" s="493">
        <f>IF(AND(E54&gt;=0,E54&lt;=E38),0,1)</f>
        <v>0</v>
      </c>
      <c r="T54" s="493">
        <f aca="true" t="shared" si="14" ref="T54:Z54">IF(AND(F54&gt;=0,F54&lt;=F38),0,1)</f>
        <v>0</v>
      </c>
      <c r="U54" s="493">
        <f t="shared" si="14"/>
        <v>0</v>
      </c>
      <c r="V54" s="493">
        <f t="shared" si="14"/>
        <v>0</v>
      </c>
      <c r="W54" s="493">
        <f t="shared" si="14"/>
        <v>0</v>
      </c>
      <c r="X54" s="493">
        <f t="shared" si="14"/>
        <v>0</v>
      </c>
      <c r="Y54" s="493">
        <f t="shared" si="14"/>
        <v>0</v>
      </c>
      <c r="Z54" s="493">
        <f t="shared" si="14"/>
        <v>0</v>
      </c>
      <c r="AA54" s="494">
        <f>IF(ISNUMBER(SUM(Q54:Z54))=TRUE,SUM(Q54:Z54),1)</f>
        <v>0</v>
      </c>
      <c r="AB54" s="493"/>
      <c r="AC54" s="492"/>
      <c r="AD54" s="493">
        <f>IF(ISNUMBER(Validation!E176),1,0)</f>
        <v>1</v>
      </c>
      <c r="AE54" s="493">
        <f>IF(ISNUMBER(Validation!F176),1,0)</f>
        <v>1</v>
      </c>
      <c r="AF54" s="493">
        <f>IF(ISNUMBER(Validation!G176),1,0)</f>
        <v>0</v>
      </c>
      <c r="AG54" s="493">
        <f>IF(ISNUMBER(Validation!H176),1,0)</f>
        <v>0</v>
      </c>
      <c r="AH54" s="493">
        <f>IF(ISNUMBER(Validation!I176),1,0)</f>
        <v>0</v>
      </c>
      <c r="AI54" s="493">
        <f>IF(ISNUMBER(Validation!J176),1,0)</f>
        <v>1</v>
      </c>
      <c r="AJ54" s="493">
        <f>IF(ISNUMBER(Validation!K176),1,0)</f>
        <v>0</v>
      </c>
      <c r="AK54" s="493">
        <f>IF(ISNUMBER(Validation!L176),1,0)</f>
        <v>0</v>
      </c>
      <c r="AL54" s="493">
        <f>IF(ISNUMBER(Validation!M176),1,0)</f>
        <v>0</v>
      </c>
    </row>
    <row r="55" spans="1:38" s="184" customFormat="1" ht="15" customHeight="1" thickBot="1">
      <c r="A55" s="188"/>
      <c r="B55" s="438"/>
      <c r="C55" s="439"/>
      <c r="D55" s="654" t="str">
        <f>IF(AA54&gt;0,"Please amend invalid data entry",IF(ISNUMBER(P54)=FALSE,"Please check figures in line above",IF(P54=1,"Explanation has been added",IF(P54=0,"",IF(P54=2,"When all fields above are complete, please click here to supply any explanations",IF(P54=3,"Please click here to delete explanation",""))))))</f>
        <v>Explanation has been added</v>
      </c>
      <c r="E55" s="654"/>
      <c r="F55" s="654"/>
      <c r="G55" s="654"/>
      <c r="H55" s="654"/>
      <c r="I55" s="654"/>
      <c r="J55" s="654"/>
      <c r="K55" s="654"/>
      <c r="L55" s="654"/>
      <c r="M55" s="654"/>
      <c r="N55" s="190"/>
      <c r="O55" s="344"/>
      <c r="P55" s="399"/>
      <c r="Q55" s="347"/>
      <c r="R55" s="493"/>
      <c r="S55" s="493"/>
      <c r="T55" s="493"/>
      <c r="U55" s="493"/>
      <c r="V55" s="493"/>
      <c r="W55" s="493"/>
      <c r="X55" s="493"/>
      <c r="Y55" s="493"/>
      <c r="Z55" s="493"/>
      <c r="AA55" s="493"/>
      <c r="AB55" s="493"/>
      <c r="AC55" s="493"/>
      <c r="AD55" s="493"/>
      <c r="AE55" s="493"/>
      <c r="AF55" s="493"/>
      <c r="AG55" s="493"/>
      <c r="AH55" s="493"/>
      <c r="AI55" s="493"/>
      <c r="AJ55" s="493"/>
      <c r="AK55" s="493"/>
      <c r="AL55" s="488"/>
    </row>
    <row r="56" spans="1:38" s="354" customFormat="1" ht="36.75" customHeight="1" thickBot="1">
      <c r="A56" s="436"/>
      <c r="B56" s="699" t="s">
        <v>925</v>
      </c>
      <c r="C56" s="700"/>
      <c r="D56" s="511">
        <f>D38-D40-D42-D50-D54</f>
        <v>0</v>
      </c>
      <c r="E56" s="511">
        <f>E38-E40-E42-E50-E54</f>
        <v>801</v>
      </c>
      <c r="F56" s="511">
        <f>F38-F40-F42-F50-F54</f>
        <v>3961</v>
      </c>
      <c r="G56" s="511">
        <f aca="true" t="shared" si="15" ref="G56:L56">G38-G40-G42-G50-G54</f>
        <v>14807</v>
      </c>
      <c r="H56" s="511">
        <f t="shared" si="15"/>
        <v>19593</v>
      </c>
      <c r="I56" s="511">
        <f t="shared" si="15"/>
        <v>15698</v>
      </c>
      <c r="J56" s="511">
        <f t="shared" si="15"/>
        <v>4774</v>
      </c>
      <c r="K56" s="511">
        <f t="shared" si="15"/>
        <v>2564</v>
      </c>
      <c r="L56" s="511">
        <f t="shared" si="15"/>
        <v>179</v>
      </c>
      <c r="M56" s="511">
        <f>SUM(D56:L56)</f>
        <v>62377</v>
      </c>
      <c r="N56" s="437"/>
      <c r="O56" s="353"/>
      <c r="P56" s="399"/>
      <c r="Q56" s="347"/>
      <c r="R56" s="493">
        <f>IF(D56&gt;=0,0,1)</f>
        <v>0</v>
      </c>
      <c r="S56" s="493">
        <f aca="true" t="shared" si="16" ref="S56:Z56">IF(E56&gt;=0,0,1)</f>
        <v>0</v>
      </c>
      <c r="T56" s="493">
        <f t="shared" si="16"/>
        <v>0</v>
      </c>
      <c r="U56" s="493">
        <f t="shared" si="16"/>
        <v>0</v>
      </c>
      <c r="V56" s="493">
        <f t="shared" si="16"/>
        <v>0</v>
      </c>
      <c r="W56" s="493">
        <f t="shared" si="16"/>
        <v>0</v>
      </c>
      <c r="X56" s="493">
        <f t="shared" si="16"/>
        <v>0</v>
      </c>
      <c r="Y56" s="493">
        <f t="shared" si="16"/>
        <v>0</v>
      </c>
      <c r="Z56" s="493">
        <f t="shared" si="16"/>
        <v>0</v>
      </c>
      <c r="AA56" s="494">
        <f>IF(ISNUMBER(SUM(R56:Z56))=TRUE,SUM(R56:Z56),1)</f>
        <v>0</v>
      </c>
      <c r="AB56" s="493"/>
      <c r="AC56" s="493"/>
      <c r="AD56" s="493"/>
      <c r="AE56" s="493"/>
      <c r="AF56" s="493"/>
      <c r="AG56" s="493"/>
      <c r="AH56" s="493"/>
      <c r="AI56" s="493"/>
      <c r="AJ56" s="493"/>
      <c r="AK56" s="493"/>
      <c r="AL56" s="496"/>
    </row>
    <row r="57" spans="1:38" s="184" customFormat="1" ht="15" customHeight="1" thickBot="1">
      <c r="A57" s="188"/>
      <c r="B57" s="438"/>
      <c r="C57" s="439"/>
      <c r="D57" s="686">
        <f>IF(AA56&gt;0,"No calculation above should be negative - please check contributing figures","")</f>
      </c>
      <c r="E57" s="686"/>
      <c r="F57" s="686"/>
      <c r="G57" s="686"/>
      <c r="H57" s="686"/>
      <c r="I57" s="686"/>
      <c r="J57" s="686"/>
      <c r="K57" s="686"/>
      <c r="L57" s="686"/>
      <c r="M57" s="686"/>
      <c r="N57" s="190"/>
      <c r="O57" s="344"/>
      <c r="P57" s="399"/>
      <c r="Q57" s="347"/>
      <c r="R57" s="493"/>
      <c r="S57" s="493"/>
      <c r="T57" s="493"/>
      <c r="U57" s="493"/>
      <c r="V57" s="493"/>
      <c r="W57" s="493"/>
      <c r="X57" s="493"/>
      <c r="Y57" s="493"/>
      <c r="Z57" s="493"/>
      <c r="AA57" s="493"/>
      <c r="AB57" s="493"/>
      <c r="AC57" s="493"/>
      <c r="AD57" s="493"/>
      <c r="AE57" s="493"/>
      <c r="AF57" s="493"/>
      <c r="AG57" s="493"/>
      <c r="AH57" s="493"/>
      <c r="AI57" s="493"/>
      <c r="AJ57" s="493"/>
      <c r="AK57" s="493"/>
      <c r="AL57" s="488"/>
    </row>
    <row r="58" spans="1:38" s="357" customFormat="1" ht="74.25" customHeight="1" thickBot="1">
      <c r="A58" s="442"/>
      <c r="B58" s="699" t="s">
        <v>938</v>
      </c>
      <c r="C58" s="700"/>
      <c r="D58" s="517">
        <f>ROUND(D40*0.75+D42*0.75+D50*0.5+D56,2)</f>
        <v>0.75</v>
      </c>
      <c r="E58" s="517">
        <f>ROUND(E40*0.75+E42*0.75+E50*0.5+E54*((100-$C$54)/100)+E56,2)</f>
        <v>1926.25</v>
      </c>
      <c r="F58" s="517">
        <f>ROUND(F40*0.75+F42*0.75+F50*0.5+F54*((100-$C$54)/100)+F56,2)</f>
        <v>9306.55</v>
      </c>
      <c r="G58" s="517">
        <f aca="true" t="shared" si="17" ref="G58:L58">ROUND(G40*0.75+G42*0.75+G50*0.5+G54*((100-$C$54)/100)+G56,2)</f>
        <v>26706.95</v>
      </c>
      <c r="H58" s="517">
        <f>ROUND(H40*0.75+H42*0.75+H50*0.5+H54*((100-$C$54)/100)+H56,2)</f>
        <v>26825.6</v>
      </c>
      <c r="I58" s="517">
        <f t="shared" si="17"/>
        <v>19532.5</v>
      </c>
      <c r="J58" s="517">
        <f t="shared" si="17"/>
        <v>5634.55</v>
      </c>
      <c r="K58" s="517">
        <f t="shared" si="17"/>
        <v>3008.2</v>
      </c>
      <c r="L58" s="517">
        <f t="shared" si="17"/>
        <v>211.95</v>
      </c>
      <c r="M58" s="511">
        <f>SUM(D58:L58)</f>
        <v>93153.3</v>
      </c>
      <c r="N58" s="443"/>
      <c r="O58" s="356"/>
      <c r="P58" s="399"/>
      <c r="Q58" s="347"/>
      <c r="R58" s="493"/>
      <c r="S58" s="493"/>
      <c r="T58" s="493"/>
      <c r="U58" s="493"/>
      <c r="V58" s="493"/>
      <c r="W58" s="493"/>
      <c r="X58" s="493"/>
      <c r="Y58" s="493"/>
      <c r="Z58" s="493"/>
      <c r="AA58" s="493"/>
      <c r="AB58" s="493"/>
      <c r="AC58" s="493"/>
      <c r="AD58" s="493"/>
      <c r="AE58" s="493"/>
      <c r="AF58" s="493"/>
      <c r="AG58" s="493"/>
      <c r="AH58" s="493"/>
      <c r="AI58" s="493"/>
      <c r="AJ58" s="493"/>
      <c r="AK58" s="493"/>
      <c r="AL58" s="497"/>
    </row>
    <row r="59" spans="1:38" s="184" customFormat="1" ht="15" customHeight="1">
      <c r="A59" s="188"/>
      <c r="B59" s="573"/>
      <c r="C59" s="439"/>
      <c r="D59" s="52"/>
      <c r="E59" s="52"/>
      <c r="F59" s="52"/>
      <c r="G59" s="52"/>
      <c r="H59" s="52"/>
      <c r="I59" s="52"/>
      <c r="J59" s="52"/>
      <c r="K59" s="52"/>
      <c r="L59" s="52"/>
      <c r="M59" s="52"/>
      <c r="N59" s="190"/>
      <c r="O59" s="344"/>
      <c r="P59" s="399"/>
      <c r="Q59" s="347"/>
      <c r="R59" s="493"/>
      <c r="S59" s="493"/>
      <c r="T59" s="493"/>
      <c r="U59" s="493"/>
      <c r="V59" s="493"/>
      <c r="W59" s="493"/>
      <c r="X59" s="493"/>
      <c r="Y59" s="493"/>
      <c r="Z59" s="493"/>
      <c r="AA59" s="493"/>
      <c r="AB59" s="493"/>
      <c r="AC59" s="493"/>
      <c r="AD59" s="493"/>
      <c r="AE59" s="493"/>
      <c r="AF59" s="493"/>
      <c r="AG59" s="493"/>
      <c r="AH59" s="493"/>
      <c r="AI59" s="493"/>
      <c r="AJ59" s="493"/>
      <c r="AK59" s="493"/>
      <c r="AL59" s="488"/>
    </row>
    <row r="60" spans="1:38" s="184" customFormat="1" ht="18">
      <c r="A60" s="188"/>
      <c r="B60" s="709" t="s">
        <v>922</v>
      </c>
      <c r="C60" s="709"/>
      <c r="D60" s="575">
        <f>5/9</f>
        <v>0.5555555555555556</v>
      </c>
      <c r="E60" s="575">
        <f>6/9</f>
        <v>0.6666666666666666</v>
      </c>
      <c r="F60" s="575">
        <f>7/9</f>
        <v>0.7777777777777778</v>
      </c>
      <c r="G60" s="575">
        <f>8/9</f>
        <v>0.8888888888888888</v>
      </c>
      <c r="H60" s="575">
        <f>9/9</f>
        <v>1</v>
      </c>
      <c r="I60" s="575">
        <f>11/9</f>
        <v>1.2222222222222223</v>
      </c>
      <c r="J60" s="575">
        <f>13/9</f>
        <v>1.4444444444444444</v>
      </c>
      <c r="K60" s="575">
        <f>15/9</f>
        <v>1.6666666666666667</v>
      </c>
      <c r="L60" s="575">
        <f>18/9</f>
        <v>2</v>
      </c>
      <c r="M60" s="576"/>
      <c r="N60" s="190"/>
      <c r="O60" s="344"/>
      <c r="P60" s="399"/>
      <c r="Q60" s="347"/>
      <c r="R60" s="493"/>
      <c r="S60" s="493"/>
      <c r="T60" s="493"/>
      <c r="U60" s="493"/>
      <c r="V60" s="493"/>
      <c r="W60" s="493"/>
      <c r="X60" s="493"/>
      <c r="Y60" s="493"/>
      <c r="Z60" s="493"/>
      <c r="AA60" s="493"/>
      <c r="AB60" s="493"/>
      <c r="AC60" s="493"/>
      <c r="AD60" s="493"/>
      <c r="AE60" s="493"/>
      <c r="AF60" s="493"/>
      <c r="AG60" s="493"/>
      <c r="AH60" s="493"/>
      <c r="AI60" s="493"/>
      <c r="AJ60" s="493"/>
      <c r="AK60" s="493"/>
      <c r="AL60" s="488"/>
    </row>
    <row r="61" spans="1:38" s="184" customFormat="1" ht="15" customHeight="1" thickBot="1">
      <c r="A61" s="188"/>
      <c r="B61" s="574"/>
      <c r="C61" s="439"/>
      <c r="D61" s="52"/>
      <c r="E61" s="52"/>
      <c r="F61" s="52"/>
      <c r="G61" s="52"/>
      <c r="H61" s="52"/>
      <c r="I61" s="52"/>
      <c r="J61" s="52"/>
      <c r="K61" s="52"/>
      <c r="L61" s="52"/>
      <c r="M61" s="52"/>
      <c r="N61" s="190"/>
      <c r="O61" s="344"/>
      <c r="P61" s="399"/>
      <c r="Q61" s="347"/>
      <c r="R61" s="493"/>
      <c r="S61" s="493"/>
      <c r="T61" s="493"/>
      <c r="U61" s="493"/>
      <c r="V61" s="493"/>
      <c r="W61" s="493"/>
      <c r="X61" s="493"/>
      <c r="Y61" s="493"/>
      <c r="Z61" s="493"/>
      <c r="AA61" s="493"/>
      <c r="AB61" s="493"/>
      <c r="AC61" s="493"/>
      <c r="AD61" s="493"/>
      <c r="AE61" s="493"/>
      <c r="AF61" s="493"/>
      <c r="AG61" s="493"/>
      <c r="AH61" s="493"/>
      <c r="AI61" s="493"/>
      <c r="AJ61" s="493"/>
      <c r="AK61" s="493"/>
      <c r="AL61" s="488"/>
    </row>
    <row r="62" spans="1:38" s="359" customFormat="1" ht="36.75" customHeight="1" thickBot="1">
      <c r="A62" s="444"/>
      <c r="B62" s="699" t="s">
        <v>939</v>
      </c>
      <c r="C62" s="700"/>
      <c r="D62" s="518">
        <f>ROUND(D58*D60,1)</f>
        <v>0.4</v>
      </c>
      <c r="E62" s="518">
        <f>ROUND(E58*E60,1)</f>
        <v>1284.2</v>
      </c>
      <c r="F62" s="518">
        <f aca="true" t="shared" si="18" ref="F62:L62">ROUND(F58*F60,1)</f>
        <v>7238.4</v>
      </c>
      <c r="G62" s="518">
        <f t="shared" si="18"/>
        <v>23739.5</v>
      </c>
      <c r="H62" s="518">
        <f t="shared" si="18"/>
        <v>26825.6</v>
      </c>
      <c r="I62" s="518">
        <f t="shared" si="18"/>
        <v>23873.1</v>
      </c>
      <c r="J62" s="518">
        <f t="shared" si="18"/>
        <v>8138.8</v>
      </c>
      <c r="K62" s="518">
        <f t="shared" si="18"/>
        <v>5013.7</v>
      </c>
      <c r="L62" s="518">
        <f t="shared" si="18"/>
        <v>423.9</v>
      </c>
      <c r="M62" s="518">
        <f>SUM(D62:L62)</f>
        <v>96537.59999999999</v>
      </c>
      <c r="N62" s="445"/>
      <c r="O62" s="358"/>
      <c r="P62" s="399"/>
      <c r="Q62" s="347"/>
      <c r="R62" s="493"/>
      <c r="S62" s="493"/>
      <c r="T62" s="493"/>
      <c r="U62" s="493"/>
      <c r="V62" s="493"/>
      <c r="W62" s="493"/>
      <c r="X62" s="493"/>
      <c r="Y62" s="493"/>
      <c r="Z62" s="493"/>
      <c r="AA62" s="493"/>
      <c r="AB62" s="493"/>
      <c r="AC62" s="493"/>
      <c r="AD62" s="493"/>
      <c r="AE62" s="493"/>
      <c r="AF62" s="493"/>
      <c r="AG62" s="493"/>
      <c r="AH62" s="493"/>
      <c r="AI62" s="493"/>
      <c r="AJ62" s="493"/>
      <c r="AK62" s="493"/>
      <c r="AL62" s="498"/>
    </row>
    <row r="63" spans="1:38" s="184" customFormat="1" ht="15" customHeight="1" thickBot="1">
      <c r="A63" s="188"/>
      <c r="B63" s="446"/>
      <c r="C63" s="447"/>
      <c r="D63" s="52"/>
      <c r="E63" s="52"/>
      <c r="F63" s="52"/>
      <c r="G63" s="52"/>
      <c r="H63" s="52"/>
      <c r="I63" s="52"/>
      <c r="J63" s="52"/>
      <c r="K63" s="52"/>
      <c r="L63" s="52"/>
      <c r="M63" s="448"/>
      <c r="N63" s="190"/>
      <c r="O63" s="344"/>
      <c r="P63" s="399"/>
      <c r="Q63" s="347"/>
      <c r="R63" s="493"/>
      <c r="S63" s="493"/>
      <c r="T63" s="493"/>
      <c r="U63" s="493"/>
      <c r="V63" s="493"/>
      <c r="W63" s="493"/>
      <c r="X63" s="493"/>
      <c r="Y63" s="493"/>
      <c r="Z63" s="493"/>
      <c r="AA63" s="493"/>
      <c r="AB63" s="493"/>
      <c r="AC63" s="493"/>
      <c r="AD63" s="493"/>
      <c r="AE63" s="493"/>
      <c r="AF63" s="493"/>
      <c r="AG63" s="493"/>
      <c r="AH63" s="493"/>
      <c r="AI63" s="493"/>
      <c r="AJ63" s="493"/>
      <c r="AK63" s="493"/>
      <c r="AL63" s="488"/>
    </row>
    <row r="64" spans="1:38" s="361" customFormat="1" ht="39.75" customHeight="1" thickBot="1">
      <c r="A64" s="449"/>
      <c r="B64" s="696" t="s">
        <v>982</v>
      </c>
      <c r="C64" s="697"/>
      <c r="D64" s="697"/>
      <c r="E64" s="697"/>
      <c r="F64" s="697"/>
      <c r="G64" s="697"/>
      <c r="H64" s="697"/>
      <c r="I64" s="697"/>
      <c r="J64" s="697"/>
      <c r="K64" s="697"/>
      <c r="L64" s="698"/>
      <c r="M64" s="53">
        <v>0</v>
      </c>
      <c r="N64" s="450"/>
      <c r="O64" s="360"/>
      <c r="P64" s="399">
        <f>MAX(Validation!T182:T182)</f>
        <v>0</v>
      </c>
      <c r="Q64" s="347"/>
      <c r="R64" s="499"/>
      <c r="S64" s="493"/>
      <c r="T64" s="493"/>
      <c r="U64" s="493"/>
      <c r="V64" s="493"/>
      <c r="W64" s="493"/>
      <c r="X64" s="493"/>
      <c r="Y64" s="493"/>
      <c r="Z64" s="493"/>
      <c r="AA64" s="493">
        <f>IF(AND(M64&gt;=0,(M64-(ROUND(M64,1))=0)),0,1)</f>
        <v>0</v>
      </c>
      <c r="AB64" s="493"/>
      <c r="AC64" s="492"/>
      <c r="AD64" s="492"/>
      <c r="AE64" s="492"/>
      <c r="AF64" s="492"/>
      <c r="AG64" s="492"/>
      <c r="AH64" s="492"/>
      <c r="AI64" s="492"/>
      <c r="AJ64" s="492"/>
      <c r="AK64" s="492"/>
      <c r="AL64" s="493">
        <f>IF(ISNUMBER(Validation!M186),1,0)</f>
        <v>0</v>
      </c>
    </row>
    <row r="65" spans="1:38" s="184" customFormat="1" ht="15" customHeight="1" thickBot="1">
      <c r="A65" s="188"/>
      <c r="B65" s="447"/>
      <c r="C65" s="447"/>
      <c r="D65" s="447"/>
      <c r="E65" s="447"/>
      <c r="F65" s="447"/>
      <c r="G65" s="447"/>
      <c r="H65" s="447"/>
      <c r="I65" s="447"/>
      <c r="J65" s="683">
        <f>IF(AA64&gt;0,"Please amend above figure to one decimal place","")</f>
      </c>
      <c r="K65" s="683"/>
      <c r="L65" s="683"/>
      <c r="M65" s="684"/>
      <c r="N65" s="190"/>
      <c r="O65" s="344"/>
      <c r="P65" s="399"/>
      <c r="Q65" s="347"/>
      <c r="R65" s="500"/>
      <c r="S65" s="493"/>
      <c r="T65" s="493"/>
      <c r="U65" s="493"/>
      <c r="V65" s="493"/>
      <c r="W65" s="493"/>
      <c r="X65" s="493"/>
      <c r="Y65" s="493"/>
      <c r="Z65" s="493"/>
      <c r="AA65" s="493"/>
      <c r="AB65" s="493"/>
      <c r="AC65" s="493"/>
      <c r="AD65" s="493"/>
      <c r="AE65" s="493"/>
      <c r="AF65" s="493"/>
      <c r="AG65" s="493"/>
      <c r="AH65" s="493"/>
      <c r="AI65" s="493"/>
      <c r="AJ65" s="493"/>
      <c r="AK65" s="493"/>
      <c r="AL65" s="488"/>
    </row>
    <row r="66" spans="1:38" s="361" customFormat="1" ht="39.75" customHeight="1" thickBot="1">
      <c r="A66" s="449"/>
      <c r="B66" s="708" t="s">
        <v>66</v>
      </c>
      <c r="C66" s="697"/>
      <c r="D66" s="697"/>
      <c r="E66" s="697"/>
      <c r="F66" s="697"/>
      <c r="G66" s="697"/>
      <c r="H66" s="697"/>
      <c r="I66" s="697"/>
      <c r="J66" s="451"/>
      <c r="K66" s="451"/>
      <c r="L66" s="451"/>
      <c r="M66" s="518">
        <f>ROUND(M62+M64,1)</f>
        <v>96537.6</v>
      </c>
      <c r="N66" s="450"/>
      <c r="O66" s="360"/>
      <c r="P66" s="399">
        <f>MAX(Validation!T192:T192)</f>
        <v>0</v>
      </c>
      <c r="Q66" s="347"/>
      <c r="R66" s="499"/>
      <c r="S66" s="493"/>
      <c r="T66" s="493"/>
      <c r="U66" s="493"/>
      <c r="V66" s="493"/>
      <c r="W66" s="493"/>
      <c r="X66" s="493"/>
      <c r="Y66" s="493"/>
      <c r="Z66" s="493"/>
      <c r="AA66" s="493">
        <f>IF(M66-(ROUND(M66,1))=0,0,1)</f>
        <v>0</v>
      </c>
      <c r="AB66" s="493"/>
      <c r="AC66" s="492"/>
      <c r="AD66" s="492"/>
      <c r="AE66" s="492"/>
      <c r="AF66" s="492"/>
      <c r="AG66" s="492"/>
      <c r="AH66" s="492"/>
      <c r="AI66" s="492"/>
      <c r="AJ66" s="492"/>
      <c r="AK66" s="492"/>
      <c r="AL66" s="493">
        <f>IF(ISNUMBER(Validation!M196),1,0)</f>
        <v>0</v>
      </c>
    </row>
    <row r="67" spans="1:38" s="184" customFormat="1" ht="15" customHeight="1" thickBot="1">
      <c r="A67" s="188"/>
      <c r="B67" s="452"/>
      <c r="C67" s="453"/>
      <c r="D67" s="454"/>
      <c r="E67" s="454"/>
      <c r="F67" s="454"/>
      <c r="G67" s="186"/>
      <c r="H67" s="186"/>
      <c r="I67" s="186"/>
      <c r="J67" s="186"/>
      <c r="K67" s="186"/>
      <c r="L67" s="186"/>
      <c r="M67" s="189"/>
      <c r="N67" s="190"/>
      <c r="O67" s="344"/>
      <c r="S67" s="493"/>
      <c r="T67" s="493"/>
      <c r="U67" s="493"/>
      <c r="V67" s="493"/>
      <c r="W67" s="493"/>
      <c r="X67" s="493"/>
      <c r="Y67" s="493"/>
      <c r="Z67" s="493"/>
      <c r="AA67" s="493"/>
      <c r="AB67" s="493"/>
      <c r="AC67" s="493"/>
      <c r="AD67" s="493"/>
      <c r="AE67" s="493"/>
      <c r="AF67" s="493"/>
      <c r="AG67" s="493"/>
      <c r="AH67" s="493"/>
      <c r="AI67" s="493"/>
      <c r="AJ67" s="493"/>
      <c r="AK67" s="493"/>
      <c r="AL67" s="488"/>
    </row>
    <row r="68" spans="1:39" s="354" customFormat="1" ht="56.25" customHeight="1" thickBot="1">
      <c r="A68" s="436"/>
      <c r="B68" s="652" t="s">
        <v>1076</v>
      </c>
      <c r="C68" s="653"/>
      <c r="D68" s="49"/>
      <c r="E68" s="50">
        <v>0</v>
      </c>
      <c r="F68" s="50">
        <v>0</v>
      </c>
      <c r="G68" s="50">
        <v>0</v>
      </c>
      <c r="H68" s="50">
        <v>0</v>
      </c>
      <c r="I68" s="50">
        <v>0</v>
      </c>
      <c r="J68" s="50">
        <v>0</v>
      </c>
      <c r="K68" s="50">
        <v>0</v>
      </c>
      <c r="L68" s="50">
        <v>0</v>
      </c>
      <c r="M68" s="514">
        <f>SUM(E68:L68)</f>
        <v>0</v>
      </c>
      <c r="N68" s="437"/>
      <c r="O68" s="355"/>
      <c r="P68" s="399"/>
      <c r="Q68" s="347"/>
      <c r="R68" s="492"/>
      <c r="S68" s="493">
        <f>IF(AND(E68&gt;=0,E68&lt;=E28),0,1)</f>
        <v>0</v>
      </c>
      <c r="T68" s="493">
        <f aca="true" t="shared" si="19" ref="T68:Z68">IF(AND(F68&gt;=0,F68&lt;=F28),0,1)</f>
        <v>0</v>
      </c>
      <c r="U68" s="493">
        <f t="shared" si="19"/>
        <v>0</v>
      </c>
      <c r="V68" s="493">
        <f t="shared" si="19"/>
        <v>0</v>
      </c>
      <c r="W68" s="493">
        <f t="shared" si="19"/>
        <v>0</v>
      </c>
      <c r="X68" s="493">
        <f t="shared" si="19"/>
        <v>0</v>
      </c>
      <c r="Y68" s="493">
        <f t="shared" si="19"/>
        <v>0</v>
      </c>
      <c r="Z68" s="493">
        <f t="shared" si="19"/>
        <v>0</v>
      </c>
      <c r="AA68" s="494">
        <f>IF(ISNUMBER(SUM(S68:Z68))=TRUE,SUM(S68:Z68),1)</f>
        <v>0</v>
      </c>
      <c r="AB68" s="493"/>
      <c r="AC68" s="492"/>
      <c r="AD68" s="493"/>
      <c r="AE68" s="493"/>
      <c r="AF68" s="493"/>
      <c r="AG68" s="493"/>
      <c r="AH68" s="493"/>
      <c r="AI68" s="493"/>
      <c r="AJ68" s="493"/>
      <c r="AK68" s="493"/>
      <c r="AL68" s="493"/>
      <c r="AM68" s="85"/>
    </row>
    <row r="69" spans="1:38" s="184" customFormat="1" ht="15" customHeight="1" thickBot="1">
      <c r="A69" s="192"/>
      <c r="B69" s="193"/>
      <c r="C69" s="193"/>
      <c r="D69" s="654">
        <f>IF(AA68&gt;0,"Please amend invalid data entry","")</f>
      </c>
      <c r="E69" s="654"/>
      <c r="F69" s="654"/>
      <c r="G69" s="654"/>
      <c r="H69" s="654"/>
      <c r="I69" s="654"/>
      <c r="J69" s="654"/>
      <c r="K69" s="654"/>
      <c r="L69" s="654"/>
      <c r="M69" s="654"/>
      <c r="N69" s="194"/>
      <c r="O69" s="344"/>
      <c r="P69" s="347"/>
      <c r="Q69" s="347"/>
      <c r="R69" s="493"/>
      <c r="S69" s="493"/>
      <c r="T69" s="493"/>
      <c r="U69" s="493"/>
      <c r="V69" s="493"/>
      <c r="W69" s="493"/>
      <c r="X69" s="493"/>
      <c r="Y69" s="493"/>
      <c r="Z69" s="493"/>
      <c r="AA69" s="493"/>
      <c r="AB69" s="493"/>
      <c r="AC69" s="493"/>
      <c r="AD69" s="493"/>
      <c r="AE69" s="493"/>
      <c r="AF69" s="493"/>
      <c r="AG69" s="493"/>
      <c r="AH69" s="493"/>
      <c r="AI69" s="493"/>
      <c r="AJ69" s="493"/>
      <c r="AK69" s="493"/>
      <c r="AL69" s="488"/>
    </row>
    <row r="70" spans="1:38" s="184" customFormat="1" ht="13.5" thickBot="1">
      <c r="A70" s="456"/>
      <c r="B70" s="457"/>
      <c r="C70" s="457"/>
      <c r="D70" s="458"/>
      <c r="E70" s="458"/>
      <c r="F70" s="459"/>
      <c r="G70" s="458"/>
      <c r="H70" s="458"/>
      <c r="I70" s="458"/>
      <c r="J70" s="458"/>
      <c r="K70" s="458"/>
      <c r="L70" s="458"/>
      <c r="M70" s="458"/>
      <c r="N70" s="460"/>
      <c r="O70" s="344"/>
      <c r="P70" s="347"/>
      <c r="Q70" s="347"/>
      <c r="R70" s="493"/>
      <c r="S70" s="493"/>
      <c r="T70" s="493"/>
      <c r="U70" s="493"/>
      <c r="V70" s="493"/>
      <c r="W70" s="493"/>
      <c r="X70" s="493"/>
      <c r="Y70" s="493"/>
      <c r="Z70" s="493"/>
      <c r="AA70" s="493"/>
      <c r="AB70" s="493"/>
      <c r="AC70" s="493"/>
      <c r="AD70" s="493"/>
      <c r="AE70" s="493"/>
      <c r="AF70" s="493"/>
      <c r="AG70" s="493"/>
      <c r="AH70" s="493"/>
      <c r="AI70" s="493"/>
      <c r="AJ70" s="493"/>
      <c r="AK70" s="493"/>
      <c r="AL70" s="488"/>
    </row>
    <row r="71" spans="1:37" ht="12.75">
      <c r="A71" s="461"/>
      <c r="B71" s="245"/>
      <c r="C71" s="186"/>
      <c r="D71" s="186"/>
      <c r="E71" s="186"/>
      <c r="F71" s="186"/>
      <c r="G71" s="186"/>
      <c r="H71" s="186"/>
      <c r="I71" s="187"/>
      <c r="J71" s="183"/>
      <c r="K71" s="183"/>
      <c r="L71" s="183"/>
      <c r="M71" s="183"/>
      <c r="N71" s="462"/>
      <c r="P71" s="347"/>
      <c r="Q71" s="347"/>
      <c r="R71" s="493"/>
      <c r="S71" s="493"/>
      <c r="T71" s="493"/>
      <c r="U71" s="493"/>
      <c r="V71" s="493"/>
      <c r="W71" s="493"/>
      <c r="X71" s="493"/>
      <c r="Y71" s="493"/>
      <c r="Z71" s="493"/>
      <c r="AA71" s="493"/>
      <c r="AB71" s="493"/>
      <c r="AC71" s="493"/>
      <c r="AD71" s="493"/>
      <c r="AE71" s="493"/>
      <c r="AF71" s="493"/>
      <c r="AG71" s="493"/>
      <c r="AH71" s="493"/>
      <c r="AI71" s="493"/>
      <c r="AJ71" s="493"/>
      <c r="AK71" s="493"/>
    </row>
    <row r="72" spans="1:37" ht="15.75">
      <c r="A72" s="461"/>
      <c r="B72" s="463" t="s">
        <v>855</v>
      </c>
      <c r="C72" s="209"/>
      <c r="D72" s="189"/>
      <c r="E72" s="189"/>
      <c r="F72" s="189"/>
      <c r="G72" s="189"/>
      <c r="H72" s="189"/>
      <c r="I72" s="190"/>
      <c r="J72" s="183"/>
      <c r="K72" s="183"/>
      <c r="L72" s="183"/>
      <c r="M72" s="183"/>
      <c r="N72" s="462"/>
      <c r="P72" s="347"/>
      <c r="Q72" s="347"/>
      <c r="R72" s="493"/>
      <c r="S72" s="493"/>
      <c r="T72" s="493"/>
      <c r="U72" s="493"/>
      <c r="V72" s="493"/>
      <c r="W72" s="493"/>
      <c r="X72" s="493"/>
      <c r="Y72" s="493"/>
      <c r="Z72" s="493"/>
      <c r="AA72" s="493"/>
      <c r="AB72" s="493"/>
      <c r="AC72" s="493"/>
      <c r="AD72" s="493"/>
      <c r="AE72" s="493"/>
      <c r="AF72" s="493"/>
      <c r="AG72" s="493"/>
      <c r="AH72" s="493"/>
      <c r="AI72" s="493"/>
      <c r="AJ72" s="493"/>
      <c r="AK72" s="493"/>
    </row>
    <row r="73" spans="1:37" ht="15">
      <c r="A73" s="461"/>
      <c r="B73" s="188"/>
      <c r="C73" s="189"/>
      <c r="D73" s="189"/>
      <c r="E73" s="189"/>
      <c r="F73" s="189"/>
      <c r="G73" s="189"/>
      <c r="H73" s="189"/>
      <c r="I73" s="190"/>
      <c r="J73" s="464" t="str">
        <f>C18</f>
        <v>Local authority contact name :   </v>
      </c>
      <c r="K73" s="196"/>
      <c r="L73" s="196"/>
      <c r="M73" s="465" t="str">
        <f>D18</f>
        <v>DAVID HUBERMAN</v>
      </c>
      <c r="N73" s="462"/>
      <c r="P73" s="347"/>
      <c r="Q73" s="347"/>
      <c r="R73" s="493"/>
      <c r="S73" s="493"/>
      <c r="T73" s="493"/>
      <c r="U73" s="493"/>
      <c r="V73" s="493"/>
      <c r="W73" s="493"/>
      <c r="X73" s="493"/>
      <c r="Y73" s="493"/>
      <c r="Z73" s="493"/>
      <c r="AA73" s="493"/>
      <c r="AB73" s="493"/>
      <c r="AC73" s="493"/>
      <c r="AD73" s="493"/>
      <c r="AE73" s="493"/>
      <c r="AF73" s="493"/>
      <c r="AG73" s="493"/>
      <c r="AH73" s="493"/>
      <c r="AI73" s="493"/>
      <c r="AJ73" s="493"/>
      <c r="AK73" s="493"/>
    </row>
    <row r="74" spans="1:37" ht="15.75">
      <c r="A74" s="461"/>
      <c r="B74" s="463" t="s">
        <v>4</v>
      </c>
      <c r="C74" s="209"/>
      <c r="D74" s="189"/>
      <c r="E74" s="189"/>
      <c r="F74" s="189"/>
      <c r="G74" s="189"/>
      <c r="H74" s="189"/>
      <c r="I74" s="190"/>
      <c r="J74" s="464" t="str">
        <f>C19</f>
        <v>Local authority telephone number :   </v>
      </c>
      <c r="K74" s="196"/>
      <c r="L74" s="196"/>
      <c r="M74" s="465" t="str">
        <f>D19</f>
        <v>020-8937-1478</v>
      </c>
      <c r="N74" s="462"/>
      <c r="P74" s="347"/>
      <c r="Q74" s="347"/>
      <c r="R74" s="493"/>
      <c r="S74" s="493"/>
      <c r="T74" s="493"/>
      <c r="U74" s="493"/>
      <c r="V74" s="493"/>
      <c r="W74" s="493"/>
      <c r="X74" s="493"/>
      <c r="Y74" s="493"/>
      <c r="Z74" s="493"/>
      <c r="AA74" s="493"/>
      <c r="AB74" s="493"/>
      <c r="AC74" s="493"/>
      <c r="AD74" s="493"/>
      <c r="AE74" s="493"/>
      <c r="AF74" s="493"/>
      <c r="AG74" s="493"/>
      <c r="AH74" s="493"/>
      <c r="AI74" s="493"/>
      <c r="AJ74" s="493"/>
      <c r="AK74" s="493"/>
    </row>
    <row r="75" spans="1:37" ht="15.75">
      <c r="A75" s="461"/>
      <c r="B75" s="463" t="s">
        <v>2</v>
      </c>
      <c r="C75" s="209"/>
      <c r="D75" s="189"/>
      <c r="E75" s="189"/>
      <c r="F75" s="189"/>
      <c r="G75" s="189"/>
      <c r="H75" s="189"/>
      <c r="I75" s="190"/>
      <c r="J75" s="464" t="str">
        <f>C20</f>
        <v>Local authority fax number :   </v>
      </c>
      <c r="K75" s="196"/>
      <c r="L75" s="196"/>
      <c r="M75" s="465" t="str">
        <f>D20</f>
        <v>020-8937-1399</v>
      </c>
      <c r="N75" s="462"/>
      <c r="P75" s="347"/>
      <c r="Q75" s="347"/>
      <c r="R75" s="493"/>
      <c r="S75" s="493"/>
      <c r="T75" s="493"/>
      <c r="U75" s="493"/>
      <c r="V75" s="493"/>
      <c r="W75" s="493"/>
      <c r="X75" s="493"/>
      <c r="Y75" s="493"/>
      <c r="Z75" s="493"/>
      <c r="AA75" s="493"/>
      <c r="AB75" s="493"/>
      <c r="AC75" s="493"/>
      <c r="AD75" s="493"/>
      <c r="AE75" s="493"/>
      <c r="AF75" s="493"/>
      <c r="AG75" s="493"/>
      <c r="AH75" s="493"/>
      <c r="AI75" s="493"/>
      <c r="AJ75" s="493"/>
      <c r="AK75" s="493"/>
    </row>
    <row r="76" spans="1:37" ht="15">
      <c r="A76" s="461"/>
      <c r="B76" s="466"/>
      <c r="C76" s="209"/>
      <c r="D76" s="189"/>
      <c r="E76" s="189"/>
      <c r="F76" s="189"/>
      <c r="G76" s="189"/>
      <c r="H76" s="189"/>
      <c r="I76" s="190"/>
      <c r="J76" s="464" t="str">
        <f>C21</f>
        <v>Local authority e-mail address :   </v>
      </c>
      <c r="K76" s="196"/>
      <c r="L76" s="196"/>
      <c r="M76" s="465" t="str">
        <f>D21</f>
        <v>david.huberman@brent.gov.uk</v>
      </c>
      <c r="N76" s="462"/>
      <c r="P76" s="347"/>
      <c r="Q76" s="347"/>
      <c r="R76" s="493"/>
      <c r="S76" s="493"/>
      <c r="T76" s="493"/>
      <c r="U76" s="493"/>
      <c r="V76" s="493"/>
      <c r="W76" s="493"/>
      <c r="X76" s="493"/>
      <c r="Y76" s="493"/>
      <c r="Z76" s="493"/>
      <c r="AA76" s="493"/>
      <c r="AB76" s="493"/>
      <c r="AC76" s="493"/>
      <c r="AD76" s="493"/>
      <c r="AE76" s="493"/>
      <c r="AF76" s="493"/>
      <c r="AG76" s="493"/>
      <c r="AH76" s="493"/>
      <c r="AI76" s="493"/>
      <c r="AJ76" s="493"/>
      <c r="AK76" s="493"/>
    </row>
    <row r="77" spans="1:37" ht="12.75">
      <c r="A77" s="461"/>
      <c r="B77" s="188"/>
      <c r="C77" s="189"/>
      <c r="D77" s="189"/>
      <c r="E77" s="189"/>
      <c r="F77" s="189"/>
      <c r="G77" s="189"/>
      <c r="H77" s="189"/>
      <c r="I77" s="190"/>
      <c r="J77" s="183"/>
      <c r="K77" s="183"/>
      <c r="L77" s="183"/>
      <c r="M77" s="183"/>
      <c r="N77" s="462"/>
      <c r="P77" s="347"/>
      <c r="Q77" s="347"/>
      <c r="R77" s="493"/>
      <c r="S77" s="493"/>
      <c r="T77" s="493"/>
      <c r="U77" s="493"/>
      <c r="V77" s="493"/>
      <c r="W77" s="493"/>
      <c r="X77" s="493"/>
      <c r="Y77" s="493"/>
      <c r="Z77" s="493"/>
      <c r="AA77" s="493"/>
      <c r="AB77" s="493"/>
      <c r="AC77" s="493"/>
      <c r="AD77" s="493"/>
      <c r="AE77" s="493"/>
      <c r="AF77" s="493"/>
      <c r="AG77" s="493"/>
      <c r="AH77" s="493"/>
      <c r="AI77" s="493"/>
      <c r="AJ77" s="493"/>
      <c r="AK77" s="493"/>
    </row>
    <row r="78" spans="1:37" ht="15.75">
      <c r="A78" s="461"/>
      <c r="B78" s="463" t="s">
        <v>940</v>
      </c>
      <c r="C78" s="198"/>
      <c r="D78" s="199"/>
      <c r="E78" s="199"/>
      <c r="F78" s="198" t="s">
        <v>866</v>
      </c>
      <c r="G78" s="198"/>
      <c r="H78" s="199"/>
      <c r="I78" s="190"/>
      <c r="J78" s="183"/>
      <c r="K78" s="183"/>
      <c r="L78" s="183"/>
      <c r="M78" s="183"/>
      <c r="N78" s="462"/>
      <c r="P78" s="347"/>
      <c r="Q78" s="347"/>
      <c r="R78" s="493"/>
      <c r="S78" s="493"/>
      <c r="T78" s="493"/>
      <c r="U78" s="493"/>
      <c r="V78" s="493"/>
      <c r="W78" s="493"/>
      <c r="X78" s="493"/>
      <c r="Y78" s="493"/>
      <c r="Z78" s="493"/>
      <c r="AA78" s="493"/>
      <c r="AB78" s="493"/>
      <c r="AC78" s="493"/>
      <c r="AD78" s="493"/>
      <c r="AE78" s="493"/>
      <c r="AF78" s="493"/>
      <c r="AG78" s="493"/>
      <c r="AH78" s="493"/>
      <c r="AI78" s="493"/>
      <c r="AJ78" s="493"/>
      <c r="AK78" s="493"/>
    </row>
    <row r="79" spans="1:37" ht="15.75" thickBot="1">
      <c r="A79" s="461"/>
      <c r="B79" s="713">
        <f>IF(AA79&gt;0,"THERE IS AT LEAST ONE ERROR ON THIS FORM","")</f>
      </c>
      <c r="C79" s="714"/>
      <c r="D79" s="714"/>
      <c r="E79" s="201"/>
      <c r="F79" s="201"/>
      <c r="G79" s="201"/>
      <c r="H79" s="201"/>
      <c r="I79" s="467" t="str">
        <f>+Title!D16</f>
        <v>Ver 1.0</v>
      </c>
      <c r="J79" s="183"/>
      <c r="K79" s="183"/>
      <c r="L79" s="183"/>
      <c r="M79" s="183"/>
      <c r="N79" s="462"/>
      <c r="P79" s="347"/>
      <c r="Q79" s="347"/>
      <c r="R79" s="493"/>
      <c r="S79" s="493"/>
      <c r="T79" s="493"/>
      <c r="U79" s="493"/>
      <c r="V79" s="493"/>
      <c r="W79" s="493"/>
      <c r="X79" s="493"/>
      <c r="Y79" s="493"/>
      <c r="Z79" s="493"/>
      <c r="AA79" s="578">
        <f>IF(ISNUMBER(SUM(AA26:AA68)),SUM(AA26:AA68),99)</f>
        <v>0</v>
      </c>
      <c r="AB79" s="493"/>
      <c r="AC79" s="493"/>
      <c r="AD79" s="493"/>
      <c r="AE79" s="493"/>
      <c r="AF79" s="493"/>
      <c r="AG79" s="493"/>
      <c r="AH79" s="493"/>
      <c r="AI79" s="493"/>
      <c r="AJ79" s="493"/>
      <c r="AK79" s="493"/>
    </row>
    <row r="80" spans="1:37" ht="15.75" thickBot="1">
      <c r="A80" s="468"/>
      <c r="B80" s="469"/>
      <c r="C80" s="469"/>
      <c r="D80" s="469"/>
      <c r="E80" s="469"/>
      <c r="F80" s="469"/>
      <c r="G80" s="469"/>
      <c r="H80" s="469"/>
      <c r="I80" s="470"/>
      <c r="J80" s="471"/>
      <c r="K80" s="471"/>
      <c r="L80" s="471"/>
      <c r="M80" s="471"/>
      <c r="N80" s="472"/>
      <c r="P80" s="347"/>
      <c r="Q80" s="347"/>
      <c r="R80" s="493"/>
      <c r="S80" s="493"/>
      <c r="T80" s="493"/>
      <c r="U80" s="493"/>
      <c r="V80" s="493"/>
      <c r="W80" s="493"/>
      <c r="X80" s="493"/>
      <c r="Y80" s="493"/>
      <c r="Z80" s="493"/>
      <c r="AA80" s="473"/>
      <c r="AB80" s="493"/>
      <c r="AC80" s="493"/>
      <c r="AD80" s="493"/>
      <c r="AE80" s="493"/>
      <c r="AF80" s="493"/>
      <c r="AG80" s="493"/>
      <c r="AH80" s="493"/>
      <c r="AI80" s="493"/>
      <c r="AJ80" s="493"/>
      <c r="AK80" s="493"/>
    </row>
    <row r="81" spans="1:37" ht="13.5" thickBot="1">
      <c r="A81" s="473"/>
      <c r="B81" s="473"/>
      <c r="C81" s="473"/>
      <c r="D81" s="473"/>
      <c r="E81" s="473"/>
      <c r="F81" s="473"/>
      <c r="G81" s="473"/>
      <c r="H81" s="473"/>
      <c r="I81" s="473"/>
      <c r="J81" s="473"/>
      <c r="K81" s="473"/>
      <c r="L81" s="473"/>
      <c r="M81" s="473"/>
      <c r="N81" s="473"/>
      <c r="P81" s="347"/>
      <c r="Q81" s="347"/>
      <c r="R81" s="493"/>
      <c r="S81" s="493"/>
      <c r="T81" s="493"/>
      <c r="U81" s="493"/>
      <c r="V81" s="493"/>
      <c r="W81" s="493"/>
      <c r="X81" s="493"/>
      <c r="Y81" s="493"/>
      <c r="Z81" s="493"/>
      <c r="AA81" s="493"/>
      <c r="AB81" s="493"/>
      <c r="AC81" s="493"/>
      <c r="AD81" s="493"/>
      <c r="AE81" s="493"/>
      <c r="AF81" s="493"/>
      <c r="AG81" s="493"/>
      <c r="AH81" s="493"/>
      <c r="AI81" s="493"/>
      <c r="AJ81" s="493"/>
      <c r="AK81" s="493"/>
    </row>
    <row r="82" spans="2:37" ht="12.75">
      <c r="B82" s="687" t="s">
        <v>927</v>
      </c>
      <c r="C82" s="688"/>
      <c r="D82" s="688"/>
      <c r="E82" s="688"/>
      <c r="F82" s="688"/>
      <c r="G82" s="688"/>
      <c r="H82" s="688"/>
      <c r="I82" s="688"/>
      <c r="J82" s="688"/>
      <c r="K82" s="688"/>
      <c r="L82" s="688"/>
      <c r="M82" s="688"/>
      <c r="N82" s="689"/>
      <c r="P82" s="347"/>
      <c r="Q82" s="347"/>
      <c r="R82" s="493"/>
      <c r="S82" s="493"/>
      <c r="T82" s="493"/>
      <c r="U82" s="493"/>
      <c r="V82" s="493"/>
      <c r="W82" s="493"/>
      <c r="X82" s="493"/>
      <c r="Y82" s="493"/>
      <c r="Z82" s="493"/>
      <c r="AA82" s="493"/>
      <c r="AB82" s="493"/>
      <c r="AC82" s="493"/>
      <c r="AD82" s="493"/>
      <c r="AE82" s="493"/>
      <c r="AF82" s="493"/>
      <c r="AG82" s="493"/>
      <c r="AH82" s="493"/>
      <c r="AI82" s="493"/>
      <c r="AJ82" s="493"/>
      <c r="AK82" s="493"/>
    </row>
    <row r="83" spans="2:37" ht="12.75">
      <c r="B83" s="690"/>
      <c r="C83" s="691"/>
      <c r="D83" s="691"/>
      <c r="E83" s="691"/>
      <c r="F83" s="691"/>
      <c r="G83" s="691"/>
      <c r="H83" s="691"/>
      <c r="I83" s="691"/>
      <c r="J83" s="691"/>
      <c r="K83" s="691"/>
      <c r="L83" s="691"/>
      <c r="M83" s="691"/>
      <c r="N83" s="692"/>
      <c r="P83" s="347"/>
      <c r="Q83" s="347"/>
      <c r="R83" s="493"/>
      <c r="S83" s="493"/>
      <c r="T83" s="493"/>
      <c r="U83" s="493"/>
      <c r="V83" s="493"/>
      <c r="W83" s="493"/>
      <c r="X83" s="493"/>
      <c r="Y83" s="493"/>
      <c r="Z83" s="493"/>
      <c r="AA83" s="493"/>
      <c r="AB83" s="493"/>
      <c r="AC83" s="493"/>
      <c r="AD83" s="493"/>
      <c r="AE83" s="493"/>
      <c r="AF83" s="493"/>
      <c r="AG83" s="493"/>
      <c r="AH83" s="493"/>
      <c r="AI83" s="493"/>
      <c r="AJ83" s="493"/>
      <c r="AK83" s="493"/>
    </row>
    <row r="84" spans="2:37" ht="13.5" thickBot="1">
      <c r="B84" s="693"/>
      <c r="C84" s="694"/>
      <c r="D84" s="694"/>
      <c r="E84" s="694"/>
      <c r="F84" s="694"/>
      <c r="G84" s="694"/>
      <c r="H84" s="694"/>
      <c r="I84" s="694"/>
      <c r="J84" s="694"/>
      <c r="K84" s="694"/>
      <c r="L84" s="694"/>
      <c r="M84" s="694"/>
      <c r="N84" s="695"/>
      <c r="P84" s="347"/>
      <c r="Q84" s="347"/>
      <c r="R84" s="493"/>
      <c r="S84" s="493"/>
      <c r="T84" s="493"/>
      <c r="U84" s="493"/>
      <c r="V84" s="493"/>
      <c r="W84" s="493"/>
      <c r="X84" s="493"/>
      <c r="Y84" s="493"/>
      <c r="Z84" s="493"/>
      <c r="AA84" s="493"/>
      <c r="AB84" s="493"/>
      <c r="AC84" s="493"/>
      <c r="AD84" s="493"/>
      <c r="AE84" s="493"/>
      <c r="AF84" s="493"/>
      <c r="AG84" s="493"/>
      <c r="AH84" s="493"/>
      <c r="AI84" s="493"/>
      <c r="AJ84" s="493"/>
      <c r="AK84" s="493"/>
    </row>
    <row r="85" spans="1:14" ht="12.75">
      <c r="A85" s="473"/>
      <c r="B85" s="473"/>
      <c r="C85" s="473"/>
      <c r="D85" s="473"/>
      <c r="E85" s="473"/>
      <c r="F85" s="473"/>
      <c r="G85" s="473"/>
      <c r="H85" s="473"/>
      <c r="I85" s="473"/>
      <c r="J85" s="473"/>
      <c r="K85" s="473"/>
      <c r="L85" s="473"/>
      <c r="M85" s="473"/>
      <c r="N85" s="473"/>
    </row>
    <row r="86" spans="1:14" ht="12.75">
      <c r="A86" s="473"/>
      <c r="C86" s="473"/>
      <c r="D86" s="473"/>
      <c r="E86" s="473"/>
      <c r="F86" s="473"/>
      <c r="G86" s="473"/>
      <c r="H86" s="473"/>
      <c r="I86" s="473"/>
      <c r="J86" s="473"/>
      <c r="K86" s="473"/>
      <c r="L86" s="473"/>
      <c r="M86" s="473"/>
      <c r="N86" s="473"/>
    </row>
    <row r="87" spans="1:14" ht="12.75">
      <c r="A87" s="473"/>
      <c r="B87" s="580"/>
      <c r="C87" s="473"/>
      <c r="D87" s="473"/>
      <c r="E87" s="473"/>
      <c r="F87" s="473"/>
      <c r="G87" s="473"/>
      <c r="H87" s="473"/>
      <c r="I87" s="473"/>
      <c r="J87" s="473"/>
      <c r="K87" s="473"/>
      <c r="L87" s="473"/>
      <c r="M87" s="473"/>
      <c r="N87" s="473"/>
    </row>
    <row r="88" spans="1:14" ht="12.75">
      <c r="A88" s="473"/>
      <c r="B88" s="580"/>
      <c r="C88" s="473"/>
      <c r="D88" s="473"/>
      <c r="E88" s="473"/>
      <c r="F88" s="473"/>
      <c r="G88" s="473"/>
      <c r="H88" s="473"/>
      <c r="I88" s="473"/>
      <c r="J88" s="473"/>
      <c r="K88" s="473"/>
      <c r="L88" s="473"/>
      <c r="M88" s="473"/>
      <c r="N88" s="473"/>
    </row>
    <row r="89" spans="1:14" ht="12.75">
      <c r="A89" s="473"/>
      <c r="B89" s="580"/>
      <c r="C89" s="473"/>
      <c r="D89" s="473"/>
      <c r="E89" s="473"/>
      <c r="F89" s="473"/>
      <c r="G89" s="473"/>
      <c r="H89" s="473"/>
      <c r="I89" s="473"/>
      <c r="J89" s="473"/>
      <c r="K89" s="473"/>
      <c r="L89" s="473"/>
      <c r="M89" s="473"/>
      <c r="N89" s="473"/>
    </row>
    <row r="90" spans="1:14" ht="12.75">
      <c r="A90" s="473"/>
      <c r="B90" s="580"/>
      <c r="C90" s="473"/>
      <c r="D90" s="473"/>
      <c r="E90" s="473"/>
      <c r="F90" s="473"/>
      <c r="G90" s="473"/>
      <c r="H90" s="473"/>
      <c r="I90" s="473"/>
      <c r="J90" s="473"/>
      <c r="K90" s="473"/>
      <c r="L90" s="473"/>
      <c r="M90" s="473"/>
      <c r="N90" s="473"/>
    </row>
    <row r="91" spans="1:14" ht="12.75">
      <c r="A91" s="473"/>
      <c r="B91" s="580"/>
      <c r="C91" s="473"/>
      <c r="D91" s="473"/>
      <c r="E91" s="473"/>
      <c r="F91" s="473"/>
      <c r="G91" s="473"/>
      <c r="H91" s="473"/>
      <c r="I91" s="473"/>
      <c r="J91" s="473"/>
      <c r="K91" s="473"/>
      <c r="L91" s="473"/>
      <c r="M91" s="473"/>
      <c r="N91" s="473"/>
    </row>
    <row r="92" spans="1:14" ht="12.75">
      <c r="A92" s="473"/>
      <c r="B92" s="580"/>
      <c r="C92" s="473"/>
      <c r="D92" s="473"/>
      <c r="E92" s="473"/>
      <c r="F92" s="473"/>
      <c r="G92" s="473"/>
      <c r="H92" s="473"/>
      <c r="I92" s="473"/>
      <c r="J92" s="473"/>
      <c r="K92" s="473"/>
      <c r="L92" s="473"/>
      <c r="M92" s="473"/>
      <c r="N92" s="473"/>
    </row>
    <row r="93" spans="1:14" ht="12.75">
      <c r="A93" s="473"/>
      <c r="B93" s="580"/>
      <c r="C93" s="473"/>
      <c r="D93" s="473"/>
      <c r="E93" s="473"/>
      <c r="F93" s="473"/>
      <c r="G93" s="473"/>
      <c r="H93" s="473"/>
      <c r="I93" s="473"/>
      <c r="J93" s="473"/>
      <c r="K93" s="473"/>
      <c r="L93" s="473"/>
      <c r="M93" s="473"/>
      <c r="N93" s="473"/>
    </row>
    <row r="94" spans="1:14" ht="12.75">
      <c r="A94" s="473"/>
      <c r="B94" s="580"/>
      <c r="C94" s="473"/>
      <c r="D94" s="473"/>
      <c r="E94" s="473"/>
      <c r="F94" s="473"/>
      <c r="G94" s="473"/>
      <c r="H94" s="473"/>
      <c r="I94" s="473"/>
      <c r="J94" s="473"/>
      <c r="K94" s="473"/>
      <c r="L94" s="473"/>
      <c r="M94" s="473"/>
      <c r="N94" s="473"/>
    </row>
    <row r="95" spans="1:14" ht="12.75">
      <c r="A95" s="473"/>
      <c r="B95" s="580"/>
      <c r="C95" s="473"/>
      <c r="D95" s="473"/>
      <c r="E95" s="473"/>
      <c r="F95" s="473"/>
      <c r="G95" s="473"/>
      <c r="H95" s="473"/>
      <c r="I95" s="473"/>
      <c r="J95" s="473"/>
      <c r="K95" s="473"/>
      <c r="L95" s="473"/>
      <c r="M95" s="473"/>
      <c r="N95" s="473"/>
    </row>
    <row r="96" spans="1:14" ht="12.75">
      <c r="A96" s="473"/>
      <c r="B96" s="580"/>
      <c r="C96" s="473"/>
      <c r="D96" s="473"/>
      <c r="E96" s="473"/>
      <c r="F96" s="473"/>
      <c r="G96" s="473"/>
      <c r="H96" s="473"/>
      <c r="I96" s="473"/>
      <c r="J96" s="473"/>
      <c r="K96" s="473"/>
      <c r="L96" s="473"/>
      <c r="M96" s="473"/>
      <c r="N96" s="473"/>
    </row>
    <row r="97" spans="1:14" ht="12.75">
      <c r="A97" s="473"/>
      <c r="B97" s="580"/>
      <c r="C97" s="473"/>
      <c r="D97" s="473"/>
      <c r="E97" s="473"/>
      <c r="F97" s="473"/>
      <c r="G97" s="473"/>
      <c r="H97" s="473"/>
      <c r="I97" s="473"/>
      <c r="J97" s="473"/>
      <c r="K97" s="473"/>
      <c r="L97" s="473"/>
      <c r="M97" s="473"/>
      <c r="N97" s="473"/>
    </row>
    <row r="98" spans="1:14" ht="12.75">
      <c r="A98" s="473"/>
      <c r="B98" s="580"/>
      <c r="C98" s="473"/>
      <c r="D98" s="473"/>
      <c r="E98" s="473"/>
      <c r="F98" s="473"/>
      <c r="G98" s="473"/>
      <c r="H98" s="473"/>
      <c r="I98" s="473"/>
      <c r="J98" s="473"/>
      <c r="K98" s="473"/>
      <c r="L98" s="473"/>
      <c r="M98" s="473"/>
      <c r="N98" s="473"/>
    </row>
    <row r="99" spans="1:14" ht="12.75">
      <c r="A99" s="473"/>
      <c r="B99" s="580"/>
      <c r="C99" s="473"/>
      <c r="D99" s="473"/>
      <c r="E99" s="473"/>
      <c r="F99" s="473"/>
      <c r="G99" s="473"/>
      <c r="H99" s="473"/>
      <c r="I99" s="473"/>
      <c r="J99" s="473"/>
      <c r="K99" s="473"/>
      <c r="L99" s="473"/>
      <c r="M99" s="473"/>
      <c r="N99" s="473"/>
    </row>
    <row r="100" spans="1:14" ht="12.75">
      <c r="A100" s="473"/>
      <c r="B100" s="580"/>
      <c r="C100" s="473"/>
      <c r="D100" s="473"/>
      <c r="E100" s="473"/>
      <c r="F100" s="473"/>
      <c r="G100" s="473"/>
      <c r="H100" s="473"/>
      <c r="I100" s="473"/>
      <c r="J100" s="473"/>
      <c r="K100" s="473"/>
      <c r="L100" s="473"/>
      <c r="M100" s="473"/>
      <c r="N100" s="473"/>
    </row>
    <row r="101" spans="1:14" ht="12.75">
      <c r="A101" s="473"/>
      <c r="B101" s="580"/>
      <c r="C101" s="473"/>
      <c r="D101" s="473"/>
      <c r="E101" s="473"/>
      <c r="F101" s="473"/>
      <c r="G101" s="473"/>
      <c r="H101" s="473"/>
      <c r="I101" s="473"/>
      <c r="J101" s="473"/>
      <c r="K101" s="473"/>
      <c r="L101" s="473"/>
      <c r="M101" s="473"/>
      <c r="N101" s="473"/>
    </row>
    <row r="102" spans="1:14" ht="12.75">
      <c r="A102" s="473"/>
      <c r="B102" s="580"/>
      <c r="C102" s="473"/>
      <c r="D102" s="473"/>
      <c r="E102" s="473"/>
      <c r="F102" s="473"/>
      <c r="G102" s="473"/>
      <c r="H102" s="473"/>
      <c r="I102" s="473"/>
      <c r="J102" s="473"/>
      <c r="K102" s="473"/>
      <c r="L102" s="473"/>
      <c r="M102" s="473"/>
      <c r="N102" s="473"/>
    </row>
    <row r="103" spans="1:14" ht="12.75">
      <c r="A103" s="473"/>
      <c r="B103" s="580"/>
      <c r="C103" s="473"/>
      <c r="D103" s="473"/>
      <c r="E103" s="473"/>
      <c r="F103" s="473"/>
      <c r="G103" s="473"/>
      <c r="H103" s="473"/>
      <c r="I103" s="473"/>
      <c r="J103" s="473"/>
      <c r="K103" s="473"/>
      <c r="L103" s="473"/>
      <c r="M103" s="473"/>
      <c r="N103" s="473"/>
    </row>
    <row r="104" spans="1:14" ht="12.75">
      <c r="A104" s="473"/>
      <c r="B104" s="580"/>
      <c r="C104" s="473"/>
      <c r="D104" s="473"/>
      <c r="E104" s="473"/>
      <c r="F104" s="473"/>
      <c r="G104" s="473"/>
      <c r="H104" s="473"/>
      <c r="I104" s="473"/>
      <c r="J104" s="473"/>
      <c r="K104" s="473"/>
      <c r="L104" s="473"/>
      <c r="M104" s="473"/>
      <c r="N104" s="473"/>
    </row>
    <row r="105" spans="1:14" ht="12.75">
      <c r="A105" s="473"/>
      <c r="B105" s="580"/>
      <c r="C105" s="473"/>
      <c r="D105" s="473"/>
      <c r="E105" s="473"/>
      <c r="F105" s="473"/>
      <c r="G105" s="473"/>
      <c r="H105" s="473"/>
      <c r="I105" s="473"/>
      <c r="J105" s="473"/>
      <c r="K105" s="473"/>
      <c r="L105" s="473"/>
      <c r="M105" s="473"/>
      <c r="N105" s="473"/>
    </row>
    <row r="106" spans="1:14" ht="12.75">
      <c r="A106" s="473"/>
      <c r="B106" s="580"/>
      <c r="C106" s="473"/>
      <c r="D106" s="473"/>
      <c r="E106" s="473"/>
      <c r="F106" s="473"/>
      <c r="G106" s="473"/>
      <c r="H106" s="473"/>
      <c r="I106" s="473"/>
      <c r="J106" s="473"/>
      <c r="K106" s="473"/>
      <c r="L106" s="473"/>
      <c r="M106" s="473"/>
      <c r="N106" s="473"/>
    </row>
    <row r="107" spans="1:14" ht="12.75">
      <c r="A107" s="473"/>
      <c r="B107" s="580"/>
      <c r="C107" s="473"/>
      <c r="D107" s="473"/>
      <c r="E107" s="473"/>
      <c r="F107" s="473"/>
      <c r="G107" s="473"/>
      <c r="H107" s="473"/>
      <c r="I107" s="473"/>
      <c r="J107" s="473"/>
      <c r="K107" s="473"/>
      <c r="L107" s="473"/>
      <c r="M107" s="473"/>
      <c r="N107" s="473"/>
    </row>
    <row r="108" spans="1:14" ht="12.75">
      <c r="A108" s="473"/>
      <c r="B108" s="580"/>
      <c r="C108" s="473"/>
      <c r="D108" s="473"/>
      <c r="E108" s="473"/>
      <c r="F108" s="473"/>
      <c r="G108" s="473"/>
      <c r="H108" s="473"/>
      <c r="I108" s="473"/>
      <c r="J108" s="473"/>
      <c r="K108" s="473"/>
      <c r="L108" s="473"/>
      <c r="M108" s="473"/>
      <c r="N108" s="473"/>
    </row>
    <row r="109" spans="1:14" ht="12.75">
      <c r="A109" s="473"/>
      <c r="B109" s="580"/>
      <c r="C109" s="473"/>
      <c r="D109" s="473"/>
      <c r="E109" s="473"/>
      <c r="F109" s="473"/>
      <c r="G109" s="473"/>
      <c r="H109" s="473"/>
      <c r="I109" s="473"/>
      <c r="J109" s="473"/>
      <c r="K109" s="473"/>
      <c r="L109" s="473"/>
      <c r="M109" s="473"/>
      <c r="N109" s="473"/>
    </row>
    <row r="110" spans="1:14" ht="12.75">
      <c r="A110" s="473"/>
      <c r="B110" s="580"/>
      <c r="C110" s="473"/>
      <c r="D110" s="473"/>
      <c r="E110" s="473"/>
      <c r="F110" s="473"/>
      <c r="G110" s="473"/>
      <c r="H110" s="473"/>
      <c r="I110" s="473"/>
      <c r="J110" s="473"/>
      <c r="K110" s="473"/>
      <c r="L110" s="473"/>
      <c r="M110" s="473"/>
      <c r="N110" s="473"/>
    </row>
    <row r="111" spans="1:14" ht="12.75">
      <c r="A111" s="473"/>
      <c r="B111" s="580"/>
      <c r="C111" s="473"/>
      <c r="D111" s="473"/>
      <c r="E111" s="473"/>
      <c r="F111" s="473"/>
      <c r="G111" s="473"/>
      <c r="H111" s="473"/>
      <c r="I111" s="473"/>
      <c r="J111" s="473"/>
      <c r="K111" s="473"/>
      <c r="L111" s="473"/>
      <c r="M111" s="473"/>
      <c r="N111" s="473"/>
    </row>
    <row r="112" spans="1:14" ht="12.75">
      <c r="A112" s="473"/>
      <c r="B112" s="580"/>
      <c r="C112" s="473"/>
      <c r="D112" s="473"/>
      <c r="E112" s="473"/>
      <c r="F112" s="473"/>
      <c r="G112" s="473"/>
      <c r="H112" s="473"/>
      <c r="I112" s="473"/>
      <c r="J112" s="473"/>
      <c r="K112" s="473"/>
      <c r="L112" s="473"/>
      <c r="M112" s="473"/>
      <c r="N112" s="473"/>
    </row>
    <row r="113" spans="1:14" ht="12.75">
      <c r="A113" s="473"/>
      <c r="B113" s="580"/>
      <c r="C113" s="473"/>
      <c r="D113" s="473"/>
      <c r="E113" s="473"/>
      <c r="F113" s="473"/>
      <c r="G113" s="473"/>
      <c r="H113" s="473"/>
      <c r="I113" s="473"/>
      <c r="J113" s="473"/>
      <c r="K113" s="473"/>
      <c r="L113" s="473"/>
      <c r="M113" s="473"/>
      <c r="N113" s="473"/>
    </row>
    <row r="114" spans="1:14" ht="12.75">
      <c r="A114" s="473"/>
      <c r="B114" s="580"/>
      <c r="C114" s="473"/>
      <c r="D114" s="473"/>
      <c r="E114" s="473"/>
      <c r="F114" s="473"/>
      <c r="G114" s="473"/>
      <c r="H114" s="473"/>
      <c r="I114" s="473"/>
      <c r="J114" s="473"/>
      <c r="K114" s="473"/>
      <c r="L114" s="473"/>
      <c r="M114" s="473"/>
      <c r="N114" s="473"/>
    </row>
    <row r="115" spans="1:14" ht="12.75">
      <c r="A115" s="473"/>
      <c r="B115" s="580"/>
      <c r="C115" s="473"/>
      <c r="D115" s="473"/>
      <c r="E115" s="473"/>
      <c r="F115" s="473"/>
      <c r="G115" s="473"/>
      <c r="H115" s="473"/>
      <c r="I115" s="473"/>
      <c r="J115" s="473"/>
      <c r="K115" s="473"/>
      <c r="L115" s="473"/>
      <c r="M115" s="473"/>
      <c r="N115" s="473"/>
    </row>
    <row r="116" spans="1:14" ht="12.75">
      <c r="A116" s="473"/>
      <c r="B116" s="580"/>
      <c r="C116" s="473"/>
      <c r="D116" s="473"/>
      <c r="E116" s="473"/>
      <c r="F116" s="473"/>
      <c r="G116" s="473"/>
      <c r="H116" s="473"/>
      <c r="I116" s="473"/>
      <c r="J116" s="473"/>
      <c r="K116" s="473"/>
      <c r="L116" s="473"/>
      <c r="M116" s="473"/>
      <c r="N116" s="473"/>
    </row>
    <row r="117" spans="1:14" ht="12.75">
      <c r="A117" s="473"/>
      <c r="B117" s="580"/>
      <c r="C117" s="473"/>
      <c r="D117" s="473"/>
      <c r="E117" s="473"/>
      <c r="F117" s="473"/>
      <c r="G117" s="473"/>
      <c r="H117" s="473"/>
      <c r="I117" s="473"/>
      <c r="J117" s="473"/>
      <c r="K117" s="473"/>
      <c r="L117" s="473"/>
      <c r="M117" s="473"/>
      <c r="N117" s="473"/>
    </row>
    <row r="118" spans="1:14" ht="12.75">
      <c r="A118" s="473"/>
      <c r="B118" s="579"/>
      <c r="C118" s="473"/>
      <c r="D118" s="473"/>
      <c r="E118" s="473"/>
      <c r="F118" s="473"/>
      <c r="G118" s="473"/>
      <c r="H118" s="473"/>
      <c r="I118" s="473"/>
      <c r="J118" s="473"/>
      <c r="K118" s="473"/>
      <c r="L118" s="473"/>
      <c r="M118" s="473"/>
      <c r="N118" s="473"/>
    </row>
    <row r="119" spans="1:14" ht="12.75">
      <c r="A119" s="473"/>
      <c r="B119" s="579"/>
      <c r="C119" s="473"/>
      <c r="D119" s="473"/>
      <c r="E119" s="473"/>
      <c r="F119" s="473"/>
      <c r="G119" s="473"/>
      <c r="H119" s="473"/>
      <c r="I119" s="473"/>
      <c r="J119" s="473"/>
      <c r="K119" s="473"/>
      <c r="L119" s="473"/>
      <c r="M119" s="473"/>
      <c r="N119" s="473"/>
    </row>
    <row r="120" spans="1:14" ht="12.75">
      <c r="A120" s="473"/>
      <c r="B120" s="473"/>
      <c r="C120" s="473"/>
      <c r="D120" s="473"/>
      <c r="E120" s="473"/>
      <c r="F120" s="473"/>
      <c r="G120" s="473"/>
      <c r="H120" s="473"/>
      <c r="I120" s="473"/>
      <c r="J120" s="473"/>
      <c r="K120" s="473"/>
      <c r="L120" s="473"/>
      <c r="M120" s="473"/>
      <c r="N120" s="473"/>
    </row>
    <row r="121" spans="1:14" ht="12.75">
      <c r="A121" s="473"/>
      <c r="B121" s="579"/>
      <c r="C121" s="473"/>
      <c r="D121" s="473"/>
      <c r="E121" s="473"/>
      <c r="F121" s="473"/>
      <c r="G121" s="473"/>
      <c r="H121" s="473"/>
      <c r="I121" s="473"/>
      <c r="J121" s="473"/>
      <c r="K121" s="473"/>
      <c r="L121" s="473"/>
      <c r="M121" s="473"/>
      <c r="N121" s="473"/>
    </row>
    <row r="122" spans="1:14" ht="12.75">
      <c r="A122" s="473"/>
      <c r="B122" s="473"/>
      <c r="C122" s="473"/>
      <c r="D122" s="473"/>
      <c r="E122" s="473"/>
      <c r="F122" s="473"/>
      <c r="G122" s="473"/>
      <c r="H122" s="473"/>
      <c r="I122" s="473"/>
      <c r="J122" s="473"/>
      <c r="K122" s="473"/>
      <c r="L122" s="473"/>
      <c r="M122" s="473"/>
      <c r="N122" s="473"/>
    </row>
    <row r="133" ht="13.5" thickBot="1"/>
    <row r="134" spans="4:188" ht="12.75">
      <c r="D134" s="474"/>
      <c r="E134" s="363"/>
      <c r="F134" s="363"/>
      <c r="G134" s="363"/>
      <c r="H134" s="363"/>
      <c r="I134" s="363"/>
      <c r="J134" s="363"/>
      <c r="K134" s="363"/>
      <c r="L134" s="363"/>
      <c r="M134" s="363"/>
      <c r="N134" s="363"/>
      <c r="O134" s="362"/>
      <c r="P134" s="362"/>
      <c r="Q134" s="362"/>
      <c r="R134" s="501"/>
      <c r="S134" s="501"/>
      <c r="T134" s="501"/>
      <c r="U134" s="501"/>
      <c r="V134" s="501"/>
      <c r="W134" s="501"/>
      <c r="X134" s="501"/>
      <c r="Y134" s="501"/>
      <c r="Z134" s="501"/>
      <c r="AA134" s="501"/>
      <c r="AB134" s="501"/>
      <c r="AC134" s="501"/>
      <c r="AD134" s="501"/>
      <c r="AE134" s="501"/>
      <c r="AF134" s="501"/>
      <c r="AG134" s="501"/>
      <c r="AH134" s="501"/>
      <c r="AI134" s="501"/>
      <c r="AJ134" s="501"/>
      <c r="AK134" s="501"/>
      <c r="AL134" s="501"/>
      <c r="AM134" s="363"/>
      <c r="AN134" s="363"/>
      <c r="AO134" s="363"/>
      <c r="AP134" s="363"/>
      <c r="AQ134" s="363"/>
      <c r="AR134" s="363"/>
      <c r="AS134" s="363"/>
      <c r="AT134" s="363"/>
      <c r="AU134" s="363"/>
      <c r="AV134" s="363"/>
      <c r="AW134" s="363"/>
      <c r="AX134" s="363"/>
      <c r="AY134" s="363"/>
      <c r="AZ134" s="363"/>
      <c r="BA134" s="363"/>
      <c r="BB134" s="363"/>
      <c r="BC134" s="363"/>
      <c r="BD134" s="363"/>
      <c r="BE134" s="363"/>
      <c r="BF134" s="363"/>
      <c r="BG134" s="363"/>
      <c r="BH134" s="363"/>
      <c r="BI134" s="363"/>
      <c r="BJ134" s="363"/>
      <c r="BK134" s="363"/>
      <c r="BL134" s="363"/>
      <c r="BM134" s="363"/>
      <c r="BN134" s="363"/>
      <c r="BO134" s="363"/>
      <c r="BP134" s="363"/>
      <c r="BQ134" s="363"/>
      <c r="BR134" s="363"/>
      <c r="BS134" s="363"/>
      <c r="BT134" s="363"/>
      <c r="BU134" s="363"/>
      <c r="BV134" s="363"/>
      <c r="BW134" s="363"/>
      <c r="BX134" s="363"/>
      <c r="BY134" s="363"/>
      <c r="BZ134" s="363"/>
      <c r="CA134" s="363"/>
      <c r="CB134" s="363"/>
      <c r="CC134" s="363"/>
      <c r="CD134" s="363"/>
      <c r="CE134" s="363"/>
      <c r="CF134" s="363"/>
      <c r="CG134" s="363"/>
      <c r="CH134" s="363"/>
      <c r="CI134" s="363"/>
      <c r="CJ134" s="363"/>
      <c r="CK134" s="363"/>
      <c r="CL134" s="363"/>
      <c r="CM134" s="363"/>
      <c r="CN134" s="363"/>
      <c r="CO134" s="363"/>
      <c r="CP134" s="363"/>
      <c r="CQ134" s="363"/>
      <c r="CR134" s="363"/>
      <c r="CS134" s="363"/>
      <c r="CT134" s="363"/>
      <c r="CU134" s="363"/>
      <c r="CV134" s="363"/>
      <c r="CW134" s="363"/>
      <c r="CX134" s="363"/>
      <c r="CY134" s="363"/>
      <c r="CZ134" s="363"/>
      <c r="DA134" s="363"/>
      <c r="DB134" s="363"/>
      <c r="DC134" s="363"/>
      <c r="DD134" s="363"/>
      <c r="DE134" s="363"/>
      <c r="DF134" s="363"/>
      <c r="DG134" s="363"/>
      <c r="DH134" s="363"/>
      <c r="DI134" s="363"/>
      <c r="DJ134" s="363"/>
      <c r="DK134" s="363"/>
      <c r="DL134" s="363"/>
      <c r="DM134" s="363"/>
      <c r="DN134" s="363"/>
      <c r="DO134" s="363"/>
      <c r="DP134" s="363"/>
      <c r="DQ134" s="363"/>
      <c r="DR134" s="363"/>
      <c r="DS134" s="363"/>
      <c r="DT134" s="363"/>
      <c r="DU134" s="363"/>
      <c r="DV134" s="363"/>
      <c r="DW134" s="363"/>
      <c r="DX134" s="363"/>
      <c r="DY134" s="363"/>
      <c r="DZ134" s="363"/>
      <c r="EA134" s="363"/>
      <c r="EB134" s="363"/>
      <c r="EC134" s="363"/>
      <c r="ED134" s="363"/>
      <c r="EE134" s="363"/>
      <c r="EF134" s="363"/>
      <c r="EG134" s="363"/>
      <c r="EH134" s="363"/>
      <c r="EI134" s="363"/>
      <c r="EJ134" s="363"/>
      <c r="EK134" s="363"/>
      <c r="EL134" s="363"/>
      <c r="EM134" s="363"/>
      <c r="EN134" s="363"/>
      <c r="EO134" s="363"/>
      <c r="EP134" s="363"/>
      <c r="EQ134" s="363"/>
      <c r="ER134" s="363"/>
      <c r="ES134" s="363"/>
      <c r="ET134" s="599"/>
      <c r="EU134" s="363"/>
      <c r="EV134" s="363"/>
      <c r="EW134" s="363"/>
      <c r="EX134" s="363"/>
      <c r="EY134" s="363"/>
      <c r="EZ134" s="363"/>
      <c r="FA134" s="363"/>
      <c r="FB134" s="363"/>
      <c r="FC134" s="363"/>
      <c r="FD134" s="363"/>
      <c r="FE134" s="363"/>
      <c r="FF134" s="363"/>
      <c r="FG134" s="363"/>
      <c r="FH134" s="363"/>
      <c r="FI134" s="363"/>
      <c r="FJ134" s="363"/>
      <c r="FK134" s="363"/>
      <c r="FL134" s="363"/>
      <c r="FM134" s="363"/>
      <c r="FN134" s="363"/>
      <c r="FO134" s="363"/>
      <c r="FP134" s="363"/>
      <c r="FQ134" s="363"/>
      <c r="FR134" s="363"/>
      <c r="FS134" s="363"/>
      <c r="FT134" s="363"/>
      <c r="FU134" s="363"/>
      <c r="FV134" s="363"/>
      <c r="FW134" s="363"/>
      <c r="FX134" s="363"/>
      <c r="FY134" s="363"/>
      <c r="FZ134" s="363"/>
      <c r="GA134" s="363"/>
      <c r="GB134" s="363"/>
      <c r="GC134" s="363"/>
      <c r="GD134" s="363"/>
      <c r="GE134" s="363"/>
      <c r="GF134" s="363"/>
    </row>
    <row r="135" spans="4:188" ht="12.75">
      <c r="D135" s="475" t="s">
        <v>968</v>
      </c>
      <c r="E135" s="311"/>
      <c r="F135" s="311"/>
      <c r="G135" s="476" t="s">
        <v>986</v>
      </c>
      <c r="H135" s="311"/>
      <c r="I135" s="311"/>
      <c r="J135" s="311"/>
      <c r="K135" s="311"/>
      <c r="L135" s="311"/>
      <c r="M135" s="311"/>
      <c r="N135" s="311"/>
      <c r="O135" s="344"/>
      <c r="P135" s="344"/>
      <c r="Q135" s="344"/>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311"/>
      <c r="AN135" s="311"/>
      <c r="AO135" s="311"/>
      <c r="AP135" s="311"/>
      <c r="AQ135" s="311"/>
      <c r="AR135" s="311"/>
      <c r="AS135" s="311"/>
      <c r="AT135" s="311"/>
      <c r="AU135" s="311"/>
      <c r="AV135" s="311"/>
      <c r="AW135" s="311"/>
      <c r="AX135" s="311"/>
      <c r="AY135" s="311"/>
      <c r="AZ135" s="311"/>
      <c r="BA135" s="311"/>
      <c r="BB135" s="311"/>
      <c r="BC135" s="311"/>
      <c r="BD135" s="311"/>
      <c r="BE135" s="311"/>
      <c r="BF135" s="311"/>
      <c r="BG135" s="311"/>
      <c r="BH135" s="311"/>
      <c r="BI135" s="311"/>
      <c r="BJ135" s="311"/>
      <c r="BK135" s="311"/>
      <c r="BL135" s="311"/>
      <c r="BM135" s="311"/>
      <c r="BN135" s="311"/>
      <c r="BO135" s="311"/>
      <c r="BP135" s="311"/>
      <c r="BQ135" s="311"/>
      <c r="BR135" s="311"/>
      <c r="BS135" s="311"/>
      <c r="BT135" s="311"/>
      <c r="BU135" s="311"/>
      <c r="BV135" s="311"/>
      <c r="BW135" s="311"/>
      <c r="BX135" s="311"/>
      <c r="BY135" s="311"/>
      <c r="BZ135" s="311"/>
      <c r="CA135" s="311"/>
      <c r="CB135" s="311"/>
      <c r="CC135" s="311"/>
      <c r="CD135" s="311"/>
      <c r="CE135" s="311"/>
      <c r="CF135" s="311"/>
      <c r="CG135" s="311"/>
      <c r="CH135" s="311"/>
      <c r="CI135" s="311"/>
      <c r="CJ135" s="311"/>
      <c r="CK135" s="311"/>
      <c r="CL135" s="311"/>
      <c r="CM135" s="311"/>
      <c r="CN135" s="311"/>
      <c r="CO135" s="311"/>
      <c r="CP135" s="311"/>
      <c r="CQ135" s="311"/>
      <c r="CR135" s="311"/>
      <c r="CS135" s="311"/>
      <c r="CT135" s="311"/>
      <c r="CU135" s="311"/>
      <c r="CV135" s="311"/>
      <c r="CW135" s="311"/>
      <c r="CX135" s="311"/>
      <c r="CY135" s="311"/>
      <c r="CZ135" s="311"/>
      <c r="DA135" s="311"/>
      <c r="DB135" s="311"/>
      <c r="DC135" s="311"/>
      <c r="DD135" s="311"/>
      <c r="DE135" s="311"/>
      <c r="DF135" s="311"/>
      <c r="DG135" s="311"/>
      <c r="DH135" s="311"/>
      <c r="DI135" s="311"/>
      <c r="DJ135" s="311"/>
      <c r="DK135" s="311"/>
      <c r="DL135" s="311"/>
      <c r="DM135" s="311"/>
      <c r="DN135" s="311"/>
      <c r="DO135" s="311"/>
      <c r="DP135" s="311"/>
      <c r="DQ135" s="311"/>
      <c r="DR135" s="311"/>
      <c r="DS135" s="311"/>
      <c r="DT135" s="311"/>
      <c r="DU135" s="311"/>
      <c r="DV135" s="311"/>
      <c r="DW135" s="311"/>
      <c r="DX135" s="311"/>
      <c r="DY135" s="311"/>
      <c r="DZ135" s="311"/>
      <c r="EA135" s="311"/>
      <c r="EB135" s="311"/>
      <c r="EC135" s="311"/>
      <c r="ED135" s="311"/>
      <c r="EE135" s="311"/>
      <c r="EF135" s="311"/>
      <c r="EG135" s="311"/>
      <c r="EH135" s="311"/>
      <c r="EI135" s="311"/>
      <c r="EJ135" s="311"/>
      <c r="EK135" s="311"/>
      <c r="EL135" s="311"/>
      <c r="EM135" s="311"/>
      <c r="EN135" s="311"/>
      <c r="EO135" s="311"/>
      <c r="EP135" s="311"/>
      <c r="EQ135" s="311"/>
      <c r="ER135" s="311"/>
      <c r="ES135" s="311"/>
      <c r="EU135" s="311"/>
      <c r="EV135" s="311"/>
      <c r="EW135" s="311"/>
      <c r="EX135" s="311"/>
      <c r="EY135" s="311"/>
      <c r="EZ135" s="311"/>
      <c r="FA135" s="311"/>
      <c r="FB135" s="311"/>
      <c r="FC135" s="311"/>
      <c r="FD135" s="311"/>
      <c r="FE135" s="311"/>
      <c r="FF135" s="311"/>
      <c r="FG135" s="311"/>
      <c r="FH135" s="311"/>
      <c r="FI135" s="311"/>
      <c r="FJ135" s="311"/>
      <c r="FK135" s="311"/>
      <c r="FL135" s="311"/>
      <c r="FM135" s="311"/>
      <c r="FN135" s="311"/>
      <c r="FO135" s="311"/>
      <c r="FP135" s="311"/>
      <c r="FQ135" s="311"/>
      <c r="FR135" s="311"/>
      <c r="FS135" s="311"/>
      <c r="FT135" s="311"/>
      <c r="FU135" s="311"/>
      <c r="FV135" s="311"/>
      <c r="FW135" s="311"/>
      <c r="FX135" s="311"/>
      <c r="FY135" s="311"/>
      <c r="FZ135" s="311"/>
      <c r="GA135" s="311"/>
      <c r="GB135" s="311"/>
      <c r="GC135" s="311"/>
      <c r="GD135" s="311"/>
      <c r="GE135" s="311"/>
      <c r="GF135" s="311"/>
    </row>
    <row r="136" spans="4:188" ht="12.75">
      <c r="D136" s="478"/>
      <c r="E136" s="311"/>
      <c r="F136" s="311"/>
      <c r="G136" s="311"/>
      <c r="H136" s="311"/>
      <c r="I136" s="311"/>
      <c r="J136" s="311"/>
      <c r="K136" s="311"/>
      <c r="L136" s="311"/>
      <c r="M136" s="311"/>
      <c r="N136" s="311"/>
      <c r="O136" s="344"/>
      <c r="P136" s="344"/>
      <c r="Q136" s="344"/>
      <c r="R136" s="502"/>
      <c r="S136" s="502"/>
      <c r="T136" s="502"/>
      <c r="U136" s="502"/>
      <c r="V136" s="502"/>
      <c r="W136" s="502"/>
      <c r="X136" s="502"/>
      <c r="Y136" s="502"/>
      <c r="Z136" s="502"/>
      <c r="AA136" s="502"/>
      <c r="AB136" s="502"/>
      <c r="AC136" s="502"/>
      <c r="AD136" s="502"/>
      <c r="AE136" s="502"/>
      <c r="AF136" s="502"/>
      <c r="AG136" s="502"/>
      <c r="AH136" s="502"/>
      <c r="AI136" s="502"/>
      <c r="AJ136" s="502"/>
      <c r="AK136" s="502"/>
      <c r="AL136" s="502"/>
      <c r="AM136" s="311"/>
      <c r="AN136" s="311"/>
      <c r="AO136" s="311"/>
      <c r="AP136" s="311"/>
      <c r="AQ136" s="311"/>
      <c r="AR136" s="311"/>
      <c r="AS136" s="311"/>
      <c r="AT136" s="311"/>
      <c r="AU136" s="311"/>
      <c r="AV136" s="311"/>
      <c r="AW136" s="311"/>
      <c r="AX136" s="311"/>
      <c r="AY136" s="311"/>
      <c r="AZ136" s="311"/>
      <c r="BA136" s="311"/>
      <c r="BB136" s="311"/>
      <c r="BC136" s="311"/>
      <c r="BD136" s="311"/>
      <c r="BE136" s="311"/>
      <c r="BF136" s="311"/>
      <c r="BG136" s="311"/>
      <c r="BH136" s="311"/>
      <c r="BI136" s="311"/>
      <c r="BJ136" s="311"/>
      <c r="BK136" s="311"/>
      <c r="BL136" s="311"/>
      <c r="BM136" s="311"/>
      <c r="BN136" s="311"/>
      <c r="BO136" s="311"/>
      <c r="BP136" s="311"/>
      <c r="BQ136" s="311"/>
      <c r="BR136" s="311"/>
      <c r="BS136" s="311"/>
      <c r="BT136" s="311"/>
      <c r="BU136" s="311"/>
      <c r="BV136" s="311"/>
      <c r="BW136" s="311"/>
      <c r="BX136" s="311"/>
      <c r="BY136" s="311"/>
      <c r="BZ136" s="311"/>
      <c r="CA136" s="311"/>
      <c r="CB136" s="311"/>
      <c r="CC136" s="311"/>
      <c r="CD136" s="311"/>
      <c r="CE136" s="311"/>
      <c r="CF136" s="311"/>
      <c r="CG136" s="311"/>
      <c r="CH136" s="311"/>
      <c r="CI136" s="311"/>
      <c r="CJ136" s="311"/>
      <c r="CK136" s="311"/>
      <c r="CL136" s="311"/>
      <c r="CM136" s="311"/>
      <c r="CN136" s="311"/>
      <c r="CO136" s="311"/>
      <c r="CP136" s="311"/>
      <c r="CQ136" s="311"/>
      <c r="CR136" s="311"/>
      <c r="CS136" s="311"/>
      <c r="CT136" s="311"/>
      <c r="CU136" s="311"/>
      <c r="CV136" s="311"/>
      <c r="CW136" s="311"/>
      <c r="CX136" s="311"/>
      <c r="CY136" s="311"/>
      <c r="CZ136" s="311"/>
      <c r="DA136" s="311"/>
      <c r="DB136" s="311"/>
      <c r="DC136" s="311"/>
      <c r="DD136" s="311"/>
      <c r="DE136" s="311"/>
      <c r="DF136" s="311"/>
      <c r="DG136" s="311"/>
      <c r="DH136" s="311"/>
      <c r="DI136" s="311"/>
      <c r="DJ136" s="311"/>
      <c r="DK136" s="311"/>
      <c r="DL136" s="311"/>
      <c r="DM136" s="311"/>
      <c r="DN136" s="311"/>
      <c r="DO136" s="311"/>
      <c r="DP136" s="311"/>
      <c r="DQ136" s="311"/>
      <c r="DR136" s="311"/>
      <c r="DS136" s="311"/>
      <c r="DT136" s="311"/>
      <c r="DU136" s="311"/>
      <c r="DV136" s="311"/>
      <c r="DW136" s="311"/>
      <c r="DX136" s="311"/>
      <c r="DY136" s="311"/>
      <c r="DZ136" s="311"/>
      <c r="EA136" s="311"/>
      <c r="EB136" s="311"/>
      <c r="EC136" s="311"/>
      <c r="ED136" s="311"/>
      <c r="EE136" s="311"/>
      <c r="EF136" s="311"/>
      <c r="EG136" s="311"/>
      <c r="EH136" s="311"/>
      <c r="EI136" s="311"/>
      <c r="EJ136" s="311"/>
      <c r="EK136" s="311"/>
      <c r="EL136" s="311"/>
      <c r="EM136" s="311"/>
      <c r="EN136" s="311"/>
      <c r="EO136" s="311"/>
      <c r="EP136" s="311"/>
      <c r="EQ136" s="311"/>
      <c r="ER136" s="311"/>
      <c r="ES136" s="311"/>
      <c r="EU136" s="311"/>
      <c r="EV136" s="311"/>
      <c r="EW136" s="311"/>
      <c r="EX136" s="311"/>
      <c r="EY136" s="311"/>
      <c r="EZ136" s="311"/>
      <c r="FA136" s="311"/>
      <c r="FB136" s="311"/>
      <c r="FC136" s="311"/>
      <c r="FD136" s="311"/>
      <c r="FE136" s="311"/>
      <c r="FF136" s="311"/>
      <c r="FG136" s="311"/>
      <c r="FH136" s="311"/>
      <c r="FI136" s="311"/>
      <c r="FJ136" s="311"/>
      <c r="FK136" s="311"/>
      <c r="FL136" s="311"/>
      <c r="FM136" s="311"/>
      <c r="FN136" s="311"/>
      <c r="FO136" s="311"/>
      <c r="FP136" s="311"/>
      <c r="FQ136" s="311"/>
      <c r="FR136" s="311"/>
      <c r="FS136" s="311"/>
      <c r="FT136" s="311"/>
      <c r="FU136" s="311"/>
      <c r="FV136" s="311"/>
      <c r="FW136" s="311"/>
      <c r="FX136" s="311"/>
      <c r="FY136" s="311"/>
      <c r="FZ136" s="311"/>
      <c r="GA136" s="311"/>
      <c r="GB136" s="311"/>
      <c r="GC136" s="311"/>
      <c r="GD136" s="311"/>
      <c r="GE136" s="311"/>
      <c r="GF136" s="311"/>
    </row>
    <row r="137" spans="4:188" ht="12.75">
      <c r="D137" s="478"/>
      <c r="E137" s="311" t="str">
        <f>VLOOKUP(G5,Table,3,FALSE)</f>
        <v>E5033</v>
      </c>
      <c r="F137" s="311" t="str">
        <f>+$D$17</f>
        <v>Brent</v>
      </c>
      <c r="G137" s="365">
        <f>+$E$26</f>
        <v>2436</v>
      </c>
      <c r="H137" s="365">
        <f>+$F$26</f>
        <v>11477</v>
      </c>
      <c r="I137" s="365">
        <f>+$G$26</f>
        <v>31707</v>
      </c>
      <c r="J137" s="365">
        <f>+$H$26</f>
        <v>29988</v>
      </c>
      <c r="K137" s="365">
        <f>+$I$26</f>
        <v>21545</v>
      </c>
      <c r="L137" s="365">
        <f>+$J$26</f>
        <v>6170</v>
      </c>
      <c r="M137" s="365">
        <f>+$K$26</f>
        <v>3333</v>
      </c>
      <c r="N137" s="365">
        <f>+$L$26</f>
        <v>258</v>
      </c>
      <c r="O137" s="364">
        <f>+$M$26</f>
        <v>106914</v>
      </c>
      <c r="P137" s="364">
        <f>+$E$28</f>
        <v>183</v>
      </c>
      <c r="Q137" s="364">
        <f>+$F$28</f>
        <v>431</v>
      </c>
      <c r="R137" s="503">
        <f>+$G$28</f>
        <v>1151</v>
      </c>
      <c r="S137" s="503">
        <f>+$H$28</f>
        <v>715</v>
      </c>
      <c r="T137" s="503">
        <f>+$I$28</f>
        <v>578</v>
      </c>
      <c r="U137" s="503">
        <f>+$J$28</f>
        <v>188</v>
      </c>
      <c r="V137" s="503">
        <f>+$K$28</f>
        <v>114</v>
      </c>
      <c r="W137" s="503">
        <f>+$L$28</f>
        <v>19</v>
      </c>
      <c r="X137" s="503">
        <f>+$M$28</f>
        <v>3379</v>
      </c>
      <c r="Y137" s="503">
        <f>+$E$30</f>
        <v>0</v>
      </c>
      <c r="Z137" s="503">
        <f>+$F$30</f>
        <v>0</v>
      </c>
      <c r="AA137" s="503">
        <f>+$G$30</f>
        <v>0</v>
      </c>
      <c r="AB137" s="503">
        <f>+$H$30</f>
        <v>0</v>
      </c>
      <c r="AC137" s="503">
        <f>+$I$30</f>
        <v>0</v>
      </c>
      <c r="AD137" s="503">
        <f>+$J$30</f>
        <v>0</v>
      </c>
      <c r="AE137" s="503">
        <f>+$K$30</f>
        <v>0</v>
      </c>
      <c r="AF137" s="503">
        <f>+$L$30</f>
        <v>0</v>
      </c>
      <c r="AG137" s="503">
        <f>+$M$30</f>
        <v>0</v>
      </c>
      <c r="AH137" s="503">
        <f>+$E$32</f>
        <v>2253</v>
      </c>
      <c r="AI137" s="503">
        <f>+$F$32</f>
        <v>11046</v>
      </c>
      <c r="AJ137" s="503">
        <f>+$G$32</f>
        <v>30556</v>
      </c>
      <c r="AK137" s="503">
        <f>+$H$32</f>
        <v>29273</v>
      </c>
      <c r="AL137" s="503">
        <f>+$I$32</f>
        <v>20967</v>
      </c>
      <c r="AM137" s="365">
        <f>+$J$32</f>
        <v>5982</v>
      </c>
      <c r="AN137" s="365">
        <f>+$K$32</f>
        <v>3219</v>
      </c>
      <c r="AO137" s="365">
        <f>+$L$32</f>
        <v>239</v>
      </c>
      <c r="AP137" s="365">
        <f>+$M$32</f>
        <v>103535</v>
      </c>
      <c r="AQ137" s="365">
        <f>+$E$34</f>
        <v>1</v>
      </c>
      <c r="AR137" s="365">
        <f>+$F$34</f>
        <v>28</v>
      </c>
      <c r="AS137" s="365">
        <f>+$G$34</f>
        <v>77</v>
      </c>
      <c r="AT137" s="365">
        <f>+$H$34</f>
        <v>224</v>
      </c>
      <c r="AU137" s="365">
        <f>+$I$34</f>
        <v>216</v>
      </c>
      <c r="AV137" s="365">
        <f>+$J$34</f>
        <v>91</v>
      </c>
      <c r="AW137" s="365">
        <f>+$K$34</f>
        <v>53</v>
      </c>
      <c r="AX137" s="365">
        <f>+$L$34</f>
        <v>8</v>
      </c>
      <c r="AY137" s="365">
        <f>+$M$34</f>
        <v>698</v>
      </c>
      <c r="AZ137" s="365">
        <f>+$D$36</f>
        <v>1</v>
      </c>
      <c r="BA137" s="365">
        <f>+$E$36</f>
        <v>28</v>
      </c>
      <c r="BB137" s="365">
        <f>+$F$36</f>
        <v>77</v>
      </c>
      <c r="BC137" s="365">
        <f>+$G$36</f>
        <v>224</v>
      </c>
      <c r="BD137" s="365">
        <f>+$H$36</f>
        <v>216</v>
      </c>
      <c r="BE137" s="365">
        <f>+$I$36</f>
        <v>91</v>
      </c>
      <c r="BF137" s="365">
        <f>+$J$36</f>
        <v>53</v>
      </c>
      <c r="BG137" s="365">
        <f>+$K$36</f>
        <v>8</v>
      </c>
      <c r="BH137" s="365">
        <f>+$M$36</f>
        <v>698</v>
      </c>
      <c r="BI137" s="365">
        <f>+$D$38</f>
        <v>1</v>
      </c>
      <c r="BJ137" s="365">
        <f>+$E$38</f>
        <v>2280</v>
      </c>
      <c r="BK137" s="365">
        <f>+$F$38</f>
        <v>11095</v>
      </c>
      <c r="BL137" s="365">
        <f>+$G$38</f>
        <v>30703</v>
      </c>
      <c r="BM137" s="365">
        <f>+$H$38</f>
        <v>29265</v>
      </c>
      <c r="BN137" s="365">
        <f>+$I$38</f>
        <v>20842</v>
      </c>
      <c r="BO137" s="365">
        <f>+$J$38</f>
        <v>5944</v>
      </c>
      <c r="BP137" s="365">
        <f>+$K$38</f>
        <v>3174</v>
      </c>
      <c r="BQ137" s="365">
        <f>+$L$38</f>
        <v>231</v>
      </c>
      <c r="BR137" s="365">
        <f>+$M$38</f>
        <v>103535</v>
      </c>
      <c r="BS137" s="365">
        <f>+$D$40</f>
        <v>1</v>
      </c>
      <c r="BT137" s="365">
        <f>+$E$40</f>
        <v>1088</v>
      </c>
      <c r="BU137" s="365">
        <f>+$F$40</f>
        <v>6887</v>
      </c>
      <c r="BV137" s="365">
        <f>+$G$40</f>
        <v>15005</v>
      </c>
      <c r="BW137" s="365">
        <f>+$H$40</f>
        <v>8980</v>
      </c>
      <c r="BX137" s="365">
        <f>+$I$40</f>
        <v>4663</v>
      </c>
      <c r="BY137" s="365">
        <f>+$J$40</f>
        <v>980</v>
      </c>
      <c r="BZ137" s="365">
        <f>+$K$40</f>
        <v>474</v>
      </c>
      <c r="CA137" s="365">
        <f>+$L$40</f>
        <v>13</v>
      </c>
      <c r="CB137" s="365">
        <f>+$M$40</f>
        <v>38091</v>
      </c>
      <c r="CC137" s="365">
        <f>+$D$42</f>
        <v>0</v>
      </c>
      <c r="CD137" s="365">
        <f>+$E$42</f>
        <v>7</v>
      </c>
      <c r="CE137" s="365">
        <f>+$F$42</f>
        <v>80</v>
      </c>
      <c r="CF137" s="365">
        <f>+$G$42</f>
        <v>254</v>
      </c>
      <c r="CG137" s="365">
        <f>+$H$42</f>
        <v>256</v>
      </c>
      <c r="CH137" s="365">
        <f>+$I$42</f>
        <v>163</v>
      </c>
      <c r="CI137" s="365">
        <f>+$J$42</f>
        <v>55</v>
      </c>
      <c r="CJ137" s="365">
        <f>+$K$42</f>
        <v>22</v>
      </c>
      <c r="CK137" s="365">
        <f>+$L$42</f>
        <v>2</v>
      </c>
      <c r="CL137" s="365">
        <f>+$M$42</f>
        <v>839</v>
      </c>
      <c r="CM137" s="365">
        <f>+$D$44</f>
        <v>0</v>
      </c>
      <c r="CN137" s="365">
        <f>+$E$44</f>
        <v>0</v>
      </c>
      <c r="CO137" s="365">
        <f>+$F$44</f>
        <v>11</v>
      </c>
      <c r="CP137" s="365">
        <f>+$G$44</f>
        <v>18</v>
      </c>
      <c r="CQ137" s="365">
        <f>+$H$44</f>
        <v>32</v>
      </c>
      <c r="CR137" s="365">
        <f>+$I$44</f>
        <v>28</v>
      </c>
      <c r="CS137" s="365">
        <f>+$J$44</f>
        <v>38</v>
      </c>
      <c r="CT137" s="365">
        <f>+$K$44</f>
        <v>35</v>
      </c>
      <c r="CU137" s="365">
        <f>+$L$44</f>
        <v>15</v>
      </c>
      <c r="CV137" s="365">
        <f>+$M$44</f>
        <v>177</v>
      </c>
      <c r="CW137" s="365">
        <f>+$E$46</f>
        <v>104</v>
      </c>
      <c r="CX137" s="365">
        <f>+$F$46</f>
        <v>64</v>
      </c>
      <c r="CY137" s="365">
        <f>+$G$46</f>
        <v>276</v>
      </c>
      <c r="CZ137" s="365">
        <f>+$H$46</f>
        <v>185</v>
      </c>
      <c r="DA137" s="365">
        <f>+$I$46</f>
        <v>150</v>
      </c>
      <c r="DB137" s="365">
        <f>+$J$46</f>
        <v>55</v>
      </c>
      <c r="DC137" s="365">
        <f>+$K$46</f>
        <v>41</v>
      </c>
      <c r="DD137" s="365">
        <f>+$L$46</f>
        <v>14</v>
      </c>
      <c r="DE137" s="365">
        <f>+$M$46</f>
        <v>889</v>
      </c>
      <c r="DF137" s="365">
        <f>+$E$48</f>
        <v>0</v>
      </c>
      <c r="DG137" s="365">
        <f>+$F$48</f>
        <v>0</v>
      </c>
      <c r="DH137" s="365">
        <f>+$G$48</f>
        <v>0</v>
      </c>
      <c r="DI137" s="365">
        <f>+$H$48</f>
        <v>0</v>
      </c>
      <c r="DJ137" s="365">
        <f>+$I$48</f>
        <v>0</v>
      </c>
      <c r="DK137" s="365">
        <f>+$J$48</f>
        <v>0</v>
      </c>
      <c r="DL137" s="365">
        <f>+$K$48</f>
        <v>0</v>
      </c>
      <c r="DM137" s="365">
        <f>+$L$48</f>
        <v>0</v>
      </c>
      <c r="DN137" s="365">
        <f>+$M$48</f>
        <v>0</v>
      </c>
      <c r="DO137" s="365">
        <f>+$D$50</f>
        <v>0</v>
      </c>
      <c r="DP137" s="365">
        <f>+$E$50</f>
        <v>104</v>
      </c>
      <c r="DQ137" s="365">
        <f>+$F$50</f>
        <v>75</v>
      </c>
      <c r="DR137" s="365">
        <f>+$G$50</f>
        <v>294</v>
      </c>
      <c r="DS137" s="365">
        <f>+$H$50</f>
        <v>217</v>
      </c>
      <c r="DT137" s="365">
        <f>+$I$50</f>
        <v>178</v>
      </c>
      <c r="DU137" s="365">
        <f>+$J$50</f>
        <v>93</v>
      </c>
      <c r="DV137" s="365">
        <f>+$K$50</f>
        <v>76</v>
      </c>
      <c r="DW137" s="365">
        <f>+$L$50</f>
        <v>29</v>
      </c>
      <c r="DX137" s="365">
        <f>+$M$50</f>
        <v>1066</v>
      </c>
      <c r="DY137" s="365">
        <f>+$E$52</f>
        <v>0</v>
      </c>
      <c r="DZ137" s="365">
        <f>+$F$52</f>
        <v>0</v>
      </c>
      <c r="EA137" s="365">
        <f>+$G$52</f>
        <v>0</v>
      </c>
      <c r="EB137" s="365">
        <f>+$H$52</f>
        <v>0</v>
      </c>
      <c r="EC137" s="365">
        <f>+$I$52</f>
        <v>0</v>
      </c>
      <c r="ED137" s="365">
        <f>+$J$52</f>
        <v>0</v>
      </c>
      <c r="EE137" s="365">
        <f>+$K$52</f>
        <v>0</v>
      </c>
      <c r="EF137" s="365">
        <f>+$L$52</f>
        <v>0</v>
      </c>
      <c r="EG137" s="365">
        <f>+$M$52</f>
        <v>0</v>
      </c>
      <c r="EH137" s="479">
        <f>+$C$54</f>
        <v>10</v>
      </c>
      <c r="EI137" s="365">
        <f>+$E$54</f>
        <v>280</v>
      </c>
      <c r="EJ137" s="365">
        <f>+$F$54</f>
        <v>92</v>
      </c>
      <c r="EK137" s="365">
        <f>+$G$54</f>
        <v>343</v>
      </c>
      <c r="EL137" s="365">
        <f>+$H$54</f>
        <v>219</v>
      </c>
      <c r="EM137" s="365">
        <f>+$I$54</f>
        <v>140</v>
      </c>
      <c r="EN137" s="365">
        <f>+$J$54</f>
        <v>42</v>
      </c>
      <c r="EO137" s="365">
        <f>+$K$54</f>
        <v>38</v>
      </c>
      <c r="EP137" s="365">
        <f>+$L$54</f>
        <v>8</v>
      </c>
      <c r="EQ137" s="365">
        <f>+$M$54</f>
        <v>1162</v>
      </c>
      <c r="ER137" s="365">
        <f>+$D$56</f>
        <v>0</v>
      </c>
      <c r="ES137" s="365">
        <f>+$E$56</f>
        <v>801</v>
      </c>
      <c r="ET137" s="365">
        <f>+$F$56</f>
        <v>3961</v>
      </c>
      <c r="EU137" s="365">
        <f>+$G$56</f>
        <v>14807</v>
      </c>
      <c r="EV137" s="365">
        <f>+$H$56</f>
        <v>19593</v>
      </c>
      <c r="EW137" s="365">
        <f>+$I$56</f>
        <v>15698</v>
      </c>
      <c r="EX137" s="365">
        <f>+$J$56</f>
        <v>4774</v>
      </c>
      <c r="EY137" s="365">
        <f>+$K$56</f>
        <v>2564</v>
      </c>
      <c r="EZ137" s="365">
        <f>+$L$56</f>
        <v>179</v>
      </c>
      <c r="FA137" s="365">
        <f>+$M$56</f>
        <v>62377</v>
      </c>
      <c r="FB137" s="480">
        <f>+$D$58</f>
        <v>0.75</v>
      </c>
      <c r="FC137" s="480">
        <f>+$E$58</f>
        <v>1926.25</v>
      </c>
      <c r="FD137" s="480">
        <f>+$F$58</f>
        <v>9306.55</v>
      </c>
      <c r="FE137" s="480">
        <f>+$G$58</f>
        <v>26706.95</v>
      </c>
      <c r="FF137" s="480">
        <f>+$H$58</f>
        <v>26825.6</v>
      </c>
      <c r="FG137" s="480">
        <f>+$I$58</f>
        <v>19532.5</v>
      </c>
      <c r="FH137" s="480">
        <f>+$J$58</f>
        <v>5634.55</v>
      </c>
      <c r="FI137" s="480">
        <f>+$K$58</f>
        <v>3008.2</v>
      </c>
      <c r="FJ137" s="480">
        <f>+$L$58</f>
        <v>211.95</v>
      </c>
      <c r="FK137" s="365">
        <f>+$M$58</f>
        <v>93153.3</v>
      </c>
      <c r="FL137" s="479">
        <f>+$D$62</f>
        <v>0.4</v>
      </c>
      <c r="FM137" s="479">
        <f>+$E$62</f>
        <v>1284.2</v>
      </c>
      <c r="FN137" s="479">
        <f>+$F$62</f>
        <v>7238.4</v>
      </c>
      <c r="FO137" s="479">
        <f>+$G$62</f>
        <v>23739.5</v>
      </c>
      <c r="FP137" s="479">
        <f>+$H$62</f>
        <v>26825.6</v>
      </c>
      <c r="FQ137" s="479">
        <f>+$I$62</f>
        <v>23873.1</v>
      </c>
      <c r="FR137" s="479">
        <f>+$J$62</f>
        <v>8138.8</v>
      </c>
      <c r="FS137" s="479">
        <f>+$K$62</f>
        <v>5013.7</v>
      </c>
      <c r="FT137" s="479">
        <f>+$L$62</f>
        <v>423.9</v>
      </c>
      <c r="FU137" s="479">
        <f>+$M$62</f>
        <v>96537.59999999999</v>
      </c>
      <c r="FV137" s="479">
        <f>+$M$64</f>
        <v>0</v>
      </c>
      <c r="FW137" s="479">
        <f>+$M$66</f>
        <v>96537.6</v>
      </c>
      <c r="FX137" s="365">
        <f>+$E$68</f>
        <v>0</v>
      </c>
      <c r="FY137" s="365">
        <f>+$F$68</f>
        <v>0</v>
      </c>
      <c r="FZ137" s="365">
        <f>+$G$68</f>
        <v>0</v>
      </c>
      <c r="GA137" s="365">
        <f>+$H$68</f>
        <v>0</v>
      </c>
      <c r="GB137" s="365">
        <f>+$I$68</f>
        <v>0</v>
      </c>
      <c r="GC137" s="365">
        <f>+$J$68</f>
        <v>0</v>
      </c>
      <c r="GD137" s="365">
        <f>+$K$68</f>
        <v>0</v>
      </c>
      <c r="GE137" s="365">
        <f>+$L$68</f>
        <v>0</v>
      </c>
      <c r="GF137" s="365">
        <f>+$M$68</f>
        <v>0</v>
      </c>
    </row>
    <row r="138" spans="4:188" ht="12.75">
      <c r="D138" s="482"/>
      <c r="E138" s="660" t="s">
        <v>974</v>
      </c>
      <c r="F138" s="659"/>
      <c r="G138" s="660" t="s">
        <v>969</v>
      </c>
      <c r="H138" s="661"/>
      <c r="I138" s="661"/>
      <c r="J138" s="661"/>
      <c r="K138" s="661"/>
      <c r="L138" s="661"/>
      <c r="M138" s="661"/>
      <c r="N138" s="661"/>
      <c r="O138" s="659"/>
      <c r="P138" s="660" t="s">
        <v>991</v>
      </c>
      <c r="Q138" s="661"/>
      <c r="R138" s="661"/>
      <c r="S138" s="661"/>
      <c r="T138" s="661"/>
      <c r="U138" s="661"/>
      <c r="V138" s="661"/>
      <c r="W138" s="661"/>
      <c r="X138" s="659"/>
      <c r="Y138" s="655" t="s">
        <v>970</v>
      </c>
      <c r="Z138" s="656"/>
      <c r="AA138" s="656"/>
      <c r="AB138" s="656"/>
      <c r="AC138" s="656"/>
      <c r="AD138" s="656"/>
      <c r="AE138" s="656"/>
      <c r="AF138" s="656"/>
      <c r="AG138" s="657"/>
      <c r="AH138" s="655" t="s">
        <v>971</v>
      </c>
      <c r="AI138" s="656"/>
      <c r="AJ138" s="656"/>
      <c r="AK138" s="656"/>
      <c r="AL138" s="656"/>
      <c r="AM138" s="656"/>
      <c r="AN138" s="656"/>
      <c r="AO138" s="656"/>
      <c r="AP138" s="657"/>
      <c r="AQ138" s="660" t="s">
        <v>992</v>
      </c>
      <c r="AR138" s="658"/>
      <c r="AS138" s="658"/>
      <c r="AT138" s="658"/>
      <c r="AU138" s="658"/>
      <c r="AV138" s="658"/>
      <c r="AW138" s="658"/>
      <c r="AX138" s="658"/>
      <c r="AY138" s="649"/>
      <c r="AZ138" s="660" t="s">
        <v>993</v>
      </c>
      <c r="BA138" s="650"/>
      <c r="BB138" s="650"/>
      <c r="BC138" s="650"/>
      <c r="BD138" s="650"/>
      <c r="BE138" s="650"/>
      <c r="BF138" s="650"/>
      <c r="BG138" s="650"/>
      <c r="BH138" s="651"/>
      <c r="BI138" s="660" t="s">
        <v>994</v>
      </c>
      <c r="BJ138" s="661"/>
      <c r="BK138" s="661"/>
      <c r="BL138" s="661"/>
      <c r="BM138" s="661"/>
      <c r="BN138" s="661"/>
      <c r="BO138" s="661"/>
      <c r="BP138" s="661"/>
      <c r="BQ138" s="661"/>
      <c r="BR138" s="659"/>
      <c r="BS138" s="660" t="s">
        <v>995</v>
      </c>
      <c r="BT138" s="661"/>
      <c r="BU138" s="661"/>
      <c r="BV138" s="661"/>
      <c r="BW138" s="661"/>
      <c r="BX138" s="661"/>
      <c r="BY138" s="661"/>
      <c r="BZ138" s="661"/>
      <c r="CA138" s="661"/>
      <c r="CB138" s="649"/>
      <c r="CC138" s="660" t="s">
        <v>996</v>
      </c>
      <c r="CD138" s="658"/>
      <c r="CE138" s="658"/>
      <c r="CF138" s="658"/>
      <c r="CG138" s="658"/>
      <c r="CH138" s="658"/>
      <c r="CI138" s="658"/>
      <c r="CJ138" s="658"/>
      <c r="CK138" s="658"/>
      <c r="CL138" s="649"/>
      <c r="CM138" s="660" t="s">
        <v>997</v>
      </c>
      <c r="CN138" s="658"/>
      <c r="CO138" s="658"/>
      <c r="CP138" s="658"/>
      <c r="CQ138" s="658"/>
      <c r="CR138" s="658"/>
      <c r="CS138" s="658"/>
      <c r="CT138" s="658"/>
      <c r="CU138" s="658"/>
      <c r="CV138" s="649"/>
      <c r="CW138" s="660" t="s">
        <v>958</v>
      </c>
      <c r="CX138" s="658"/>
      <c r="CY138" s="658"/>
      <c r="CZ138" s="658"/>
      <c r="DA138" s="658"/>
      <c r="DB138" s="658"/>
      <c r="DC138" s="658"/>
      <c r="DD138" s="658"/>
      <c r="DE138" s="649"/>
      <c r="DF138" s="660" t="s">
        <v>972</v>
      </c>
      <c r="DG138" s="650"/>
      <c r="DH138" s="650"/>
      <c r="DI138" s="650"/>
      <c r="DJ138" s="650"/>
      <c r="DK138" s="650"/>
      <c r="DL138" s="650"/>
      <c r="DM138" s="650"/>
      <c r="DN138" s="651"/>
      <c r="DO138" s="660" t="s">
        <v>998</v>
      </c>
      <c r="DP138" s="658"/>
      <c r="DQ138" s="658"/>
      <c r="DR138" s="658"/>
      <c r="DS138" s="658"/>
      <c r="DT138" s="658"/>
      <c r="DU138" s="658"/>
      <c r="DV138" s="658"/>
      <c r="DW138" s="658"/>
      <c r="DX138" s="649"/>
      <c r="DY138" s="660" t="s">
        <v>999</v>
      </c>
      <c r="DZ138" s="650"/>
      <c r="EA138" s="650"/>
      <c r="EB138" s="650"/>
      <c r="EC138" s="650"/>
      <c r="ED138" s="650"/>
      <c r="EE138" s="650"/>
      <c r="EF138" s="650"/>
      <c r="EG138" s="651"/>
      <c r="EH138" s="660" t="s">
        <v>1000</v>
      </c>
      <c r="EI138" s="661"/>
      <c r="EJ138" s="661"/>
      <c r="EK138" s="661"/>
      <c r="EL138" s="661"/>
      <c r="EM138" s="661"/>
      <c r="EN138" s="661"/>
      <c r="EO138" s="661"/>
      <c r="EP138" s="661"/>
      <c r="EQ138" s="659"/>
      <c r="ER138" s="660" t="s">
        <v>1001</v>
      </c>
      <c r="ES138" s="650"/>
      <c r="ET138" s="650"/>
      <c r="EU138" s="650"/>
      <c r="EV138" s="650"/>
      <c r="EW138" s="650"/>
      <c r="EX138" s="650"/>
      <c r="EY138" s="650"/>
      <c r="EZ138" s="650"/>
      <c r="FA138" s="650"/>
      <c r="FB138" s="730" t="s">
        <v>1002</v>
      </c>
      <c r="FC138" s="731"/>
      <c r="FD138" s="731"/>
      <c r="FE138" s="731"/>
      <c r="FF138" s="731"/>
      <c r="FG138" s="731"/>
      <c r="FH138" s="731"/>
      <c r="FI138" s="731"/>
      <c r="FJ138" s="731"/>
      <c r="FK138" s="732"/>
      <c r="FL138" s="730" t="s">
        <v>973</v>
      </c>
      <c r="FM138" s="731"/>
      <c r="FN138" s="731"/>
      <c r="FO138" s="731"/>
      <c r="FP138" s="731"/>
      <c r="FQ138" s="731"/>
      <c r="FR138" s="731"/>
      <c r="FS138" s="731"/>
      <c r="FT138" s="731"/>
      <c r="FU138" s="732"/>
      <c r="FV138" s="597" t="s">
        <v>1003</v>
      </c>
      <c r="FW138" s="597" t="s">
        <v>1004</v>
      </c>
      <c r="FX138" s="730" t="s">
        <v>1005</v>
      </c>
      <c r="FY138" s="731"/>
      <c r="FZ138" s="731"/>
      <c r="GA138" s="731"/>
      <c r="GB138" s="731"/>
      <c r="GC138" s="731"/>
      <c r="GD138" s="731"/>
      <c r="GE138" s="731"/>
      <c r="GF138" s="732"/>
    </row>
    <row r="139" spans="4:188" ht="13.5" thickBot="1">
      <c r="D139" s="485"/>
      <c r="E139" s="367"/>
      <c r="F139" s="367"/>
      <c r="G139" s="367"/>
      <c r="H139" s="367"/>
      <c r="I139" s="367"/>
      <c r="J139" s="367"/>
      <c r="K139" s="367"/>
      <c r="L139" s="367"/>
      <c r="M139" s="367"/>
      <c r="N139" s="367"/>
      <c r="O139" s="366"/>
      <c r="P139" s="366"/>
      <c r="Q139" s="366"/>
      <c r="R139" s="504"/>
      <c r="S139" s="504"/>
      <c r="T139" s="504"/>
      <c r="U139" s="504"/>
      <c r="V139" s="504"/>
      <c r="W139" s="504"/>
      <c r="X139" s="504"/>
      <c r="Y139" s="504"/>
      <c r="Z139" s="504"/>
      <c r="AA139" s="504"/>
      <c r="AB139" s="504"/>
      <c r="AC139" s="504"/>
      <c r="AD139" s="504"/>
      <c r="AE139" s="504"/>
      <c r="AF139" s="504"/>
      <c r="AG139" s="504"/>
      <c r="AH139" s="504"/>
      <c r="AI139" s="504"/>
      <c r="AJ139" s="504"/>
      <c r="AK139" s="504"/>
      <c r="AL139" s="504"/>
      <c r="AM139" s="367"/>
      <c r="AN139" s="367"/>
      <c r="AO139" s="367"/>
      <c r="AP139" s="367"/>
      <c r="AQ139" s="367"/>
      <c r="AR139" s="367"/>
      <c r="AS139" s="367"/>
      <c r="AT139" s="367"/>
      <c r="AU139" s="367"/>
      <c r="AV139" s="367"/>
      <c r="AW139" s="367"/>
      <c r="AX139" s="367"/>
      <c r="AY139" s="367"/>
      <c r="AZ139" s="367"/>
      <c r="BA139" s="367"/>
      <c r="BB139" s="367"/>
      <c r="BC139" s="367"/>
      <c r="BD139" s="367"/>
      <c r="BE139" s="367"/>
      <c r="BF139" s="367"/>
      <c r="BG139" s="367"/>
      <c r="BH139" s="367"/>
      <c r="BI139" s="367"/>
      <c r="BJ139" s="367"/>
      <c r="BK139" s="367"/>
      <c r="BL139" s="367"/>
      <c r="BM139" s="367"/>
      <c r="BN139" s="367"/>
      <c r="BO139" s="367"/>
      <c r="BP139" s="367"/>
      <c r="BQ139" s="367"/>
      <c r="BR139" s="367"/>
      <c r="BS139" s="367"/>
      <c r="BT139" s="367"/>
      <c r="BU139" s="367"/>
      <c r="BV139" s="367"/>
      <c r="BW139" s="367"/>
      <c r="BX139" s="367"/>
      <c r="BY139" s="367"/>
      <c r="BZ139" s="367"/>
      <c r="CA139" s="367"/>
      <c r="CB139" s="367"/>
      <c r="CC139" s="367"/>
      <c r="CD139" s="367"/>
      <c r="CE139" s="367"/>
      <c r="CF139" s="367"/>
      <c r="CG139" s="367"/>
      <c r="CH139" s="367"/>
      <c r="CI139" s="367"/>
      <c r="CJ139" s="367"/>
      <c r="CK139" s="367"/>
      <c r="CL139" s="367"/>
      <c r="CM139" s="367"/>
      <c r="CN139" s="367"/>
      <c r="CO139" s="367"/>
      <c r="CP139" s="367"/>
      <c r="CQ139" s="367"/>
      <c r="CR139" s="367"/>
      <c r="CS139" s="367"/>
      <c r="CT139" s="367"/>
      <c r="CU139" s="367"/>
      <c r="CV139" s="367"/>
      <c r="CW139" s="367"/>
      <c r="CX139" s="367"/>
      <c r="CY139" s="367"/>
      <c r="CZ139" s="367"/>
      <c r="DA139" s="367"/>
      <c r="DB139" s="367"/>
      <c r="DC139" s="367"/>
      <c r="DD139" s="367"/>
      <c r="DE139" s="367"/>
      <c r="DF139" s="367"/>
      <c r="DG139" s="367"/>
      <c r="DH139" s="367"/>
      <c r="DI139" s="367"/>
      <c r="DJ139" s="367"/>
      <c r="DK139" s="367"/>
      <c r="DL139" s="367"/>
      <c r="DM139" s="367"/>
      <c r="DN139" s="367"/>
      <c r="DO139" s="367"/>
      <c r="DP139" s="367"/>
      <c r="DQ139" s="367"/>
      <c r="DR139" s="367"/>
      <c r="DS139" s="367"/>
      <c r="DT139" s="367"/>
      <c r="DU139" s="367"/>
      <c r="DV139" s="367"/>
      <c r="DW139" s="367"/>
      <c r="DX139" s="367"/>
      <c r="DY139" s="367"/>
      <c r="DZ139" s="367"/>
      <c r="EA139" s="367"/>
      <c r="EB139" s="367"/>
      <c r="EC139" s="367"/>
      <c r="ED139" s="367"/>
      <c r="EE139" s="367"/>
      <c r="EF139" s="367"/>
      <c r="EG139" s="367"/>
      <c r="EH139" s="367"/>
      <c r="EI139" s="367"/>
      <c r="EJ139" s="367"/>
      <c r="EK139" s="367"/>
      <c r="EL139" s="367"/>
      <c r="EM139" s="367"/>
      <c r="EN139" s="367"/>
      <c r="EO139" s="367"/>
      <c r="EP139" s="367"/>
      <c r="EQ139" s="367"/>
      <c r="ER139" s="367"/>
      <c r="ES139" s="598"/>
      <c r="ET139" s="598"/>
      <c r="EU139" s="367"/>
      <c r="EV139" s="367"/>
      <c r="EW139" s="367"/>
      <c r="EX139" s="367"/>
      <c r="EY139" s="367"/>
      <c r="EZ139" s="367"/>
      <c r="FA139" s="367"/>
      <c r="FB139" s="367"/>
      <c r="FC139" s="367"/>
      <c r="FD139" s="367"/>
      <c r="FE139" s="367"/>
      <c r="FF139" s="367"/>
      <c r="FG139" s="367"/>
      <c r="FH139" s="367"/>
      <c r="FI139" s="367"/>
      <c r="FJ139" s="367"/>
      <c r="FK139" s="367"/>
      <c r="FL139" s="367"/>
      <c r="FM139" s="367"/>
      <c r="FN139" s="367"/>
      <c r="FO139" s="367"/>
      <c r="FP139" s="367"/>
      <c r="FQ139" s="367"/>
      <c r="FR139" s="367"/>
      <c r="FS139" s="367"/>
      <c r="FT139" s="367"/>
      <c r="FU139" s="367"/>
      <c r="FV139" s="367"/>
      <c r="FW139" s="367"/>
      <c r="FX139" s="367"/>
      <c r="FY139" s="367"/>
      <c r="FZ139" s="367"/>
      <c r="GA139" s="367"/>
      <c r="GB139" s="367"/>
      <c r="GC139" s="367"/>
      <c r="GD139" s="367"/>
      <c r="GE139" s="367"/>
      <c r="GF139" s="486"/>
    </row>
    <row r="143" ht="12.75">
      <c r="E143" s="85" t="s">
        <v>1066</v>
      </c>
    </row>
    <row r="144" ht="12.75">
      <c r="E144" s="85" t="str">
        <f>CONCATENATE("000",$E$137,"CTB08XXX,",$G$137,",",$H$137,",",$I$137,",",$J$137,",",$K$137,",",$L$137,",",$M$137,",",$N$137,",",$O$137,",",$P$137,",")</f>
        <v>000E5033CTB08XXX,2436,11477,31707,29988,21545,6170,3333,258,106914,183,</v>
      </c>
    </row>
    <row r="145" ht="12.75">
      <c r="E145" s="85" t="str">
        <f>CONCATENATE("000",$E$137,"CTB08XXX,",$Q$137,",",$R$137,",",$S$137,",",$T$137,",",$U$137,",",$V$137,",",$W$137,",",$X$137,",",$Y$137,",",$Z$137,",")</f>
        <v>000E5033CTB08XXX,431,1151,715,578,188,114,19,3379,0,0,</v>
      </c>
    </row>
    <row r="146" ht="12.75">
      <c r="E146" s="85" t="str">
        <f>CONCATENATE("000",$E$137,"CTB08XXX,",$AA$137,",",$AB$137,",",$AC$137,",",$AD$137,",",$AE$137,",",$AF$137,",",$AG$137,",",$AH$137,",",$AI$137,",",$AJ$137,",")</f>
        <v>000E5033CTB08XXX,0,0,0,0,0,0,0,2253,11046,30556,</v>
      </c>
    </row>
    <row r="147" ht="12.75">
      <c r="E147" s="85" t="str">
        <f>CONCATENATE("000",$E$137,"CTB08XXX,",$AK$137,",",$AL$137,",",$AM$137,",",$AN$137,",",$AO$137,",",$AP$137,",",$AQ$137,",",$AR$137,",",$AS$137,",",$AT$137,",")</f>
        <v>000E5033CTB08XXX,29273,20967,5982,3219,239,103535,1,28,77,224,</v>
      </c>
    </row>
    <row r="148" ht="12.75">
      <c r="E148" s="85" t="str">
        <f>CONCATENATE("000",$E$137,"CTB08XXX,",$AU$137,",",$AV$137,",",$AW$137,",",$AX$137,",",$AY$137,",",$AZ$137,",",$BA$137,",",$BB$137,",",$BC$137,",",$BD$137,",")</f>
        <v>000E5033CTB08XXX,216,91,53,8,698,1,28,77,224,216,</v>
      </c>
    </row>
    <row r="149" ht="12.75">
      <c r="E149" s="85" t="str">
        <f>CONCATENATE("000",$E$137,"CTB08XXX,",$BE$137,",",$BF$137,",",$BG$137,",",$BH$137,",",$BI$137,",",$BJ$137,",",$BK$137,",",$BL$137,",",$BM$137,",",$BN$137,",")</f>
        <v>000E5033CTB08XXX,91,53,8,698,1,2280,11095,30703,29265,20842,</v>
      </c>
    </row>
    <row r="150" ht="12.75">
      <c r="E150" s="85" t="str">
        <f>CONCATENATE("000",$E$137,"CTB08XXX,",$BO$137,",",$BP$137,",",$BQ$137,",",$BR$137,",",$BS$137,",",$BT$137,",",$BU$137,",",$BV$137,",",$BW$137,",",$BX$137,",")</f>
        <v>000E5033CTB08XXX,5944,3174,231,103535,1,1088,6887,15005,8980,4663,</v>
      </c>
    </row>
    <row r="151" ht="12.75">
      <c r="E151" s="85" t="str">
        <f>CONCATENATE("000",$E$137,"CTB08XXX,",$BY$137,",",$BZ$137,",",$CA$137,",",$CB$137,",",$CC$137,",",$CD$137,",",$CE$137,",",$CF$137,",",$CG$137,",",$CH$137,",")</f>
        <v>000E5033CTB08XXX,980,474,13,38091,0,7,80,254,256,163,</v>
      </c>
    </row>
    <row r="152" ht="12.75">
      <c r="E152" s="85" t="str">
        <f>CONCATENATE("000",$E$137,"CTB08XXX,",$CI$137,",",$CJ$137,",",$CK$137,",",$CL$137,",",$CM$137,",",$CN$137,",",$CO$137,",",$CP$137,",",$CQ$137,",",$CR$137,",")</f>
        <v>000E5033CTB08XXX,55,22,2,839,0,0,11,18,32,28,</v>
      </c>
    </row>
    <row r="153" ht="12.75">
      <c r="E153" s="85" t="str">
        <f>CONCATENATE("000",$E$137,"CTB08XXX,",$CS$137,",",$CT$137,",",$CU$137,",",$CV$137,",",$CW$137,",",$CX$137,",",$CY$137,",",$CZ$137,",",$DA$137,",",$DB$137,",")</f>
        <v>000E5033CTB08XXX,38,35,15,177,104,64,276,185,150,55,</v>
      </c>
    </row>
    <row r="154" ht="12.75">
      <c r="E154" s="85" t="str">
        <f>CONCATENATE("000",$E$137,"CTB08XXX,",$DC$137,",",$DD$137,",",$DE$137,",",$DF$137,",",$DG$137,",",$DH$137,",",$DI$137,",",$DJ$137,",",$DK$137,",",$DL$137,",")</f>
        <v>000E5033CTB08XXX,41,14,889,0,0,0,0,0,0,0,</v>
      </c>
    </row>
    <row r="155" ht="12.75">
      <c r="E155" s="85" t="str">
        <f>CONCATENATE("000",$E$137,"CTB08XXX,",$DM$137,",",$DN$137,",",$DO$137,",",$DP$137,",",$DQ$137,",",$DR$137,",",$DS$137,",",$DT$137,",",$DU$137,",",$DV$137,",")</f>
        <v>000E5033CTB08XXX,0,0,0,104,75,294,217,178,93,76,</v>
      </c>
    </row>
    <row r="156" ht="12.75">
      <c r="E156" s="85" t="str">
        <f>CONCATENATE("000",$E$137,"CTB08XXX,",$DW$137,",",$DX$137,",",$DY$137,",",$DZ$137,",",$EA$137,",",$EB$137,",",$EC$137,",",$ED$137,",",$EE$137,",",$EF$137,",")</f>
        <v>000E5033CTB08XXX,29,1066,0,0,0,0,0,0,0,0,</v>
      </c>
    </row>
    <row r="157" ht="12.75">
      <c r="E157" s="85" t="str">
        <f>CONCATENATE("000",$E$137,"CTB08XXX,",$EG$137,",",$EH$137,",",$EI$137,",",$EJ$137,",",$EK$137,",",$EL$137,",",$EM$137,",",$EN$137,",",$EO$137,",",$EP$137,",")</f>
        <v>000E5033CTB08XXX,0,10,280,92,343,219,140,42,38,8,</v>
      </c>
    </row>
    <row r="158" ht="12.75">
      <c r="E158" s="85" t="str">
        <f>CONCATENATE("000",$E$137,"CTB08XXX,",$EQ$137,",",$ER$137,",",$ES$137,",",$ET$137,",",$EU$137,",",$EV$137,",",$EW$137,",",$EX$137,",",$EY$137,",",$EZ$137,",")</f>
        <v>000E5033CTB08XXX,1162,0,801,3961,14807,19593,15698,4774,2564,179,</v>
      </c>
    </row>
    <row r="159" ht="12.75">
      <c r="E159" s="85" t="str">
        <f>CONCATENATE("000",$E$137,"CTB08XXX,",$FA$137,",",$FB$137,",",$FC$137,",",$FD$137,",",$FE$137,",",$FF$137,",",$FG$137,",",$FH$137,",",$FI$137,",",$FJ$137,",")</f>
        <v>000E5033CTB08XXX,62377,0.75,1926.25,9306.55,26706.95,26825.6,19532.5,5634.55,3008.2,211.95,</v>
      </c>
    </row>
    <row r="160" ht="12.75">
      <c r="E160" s="85" t="str">
        <f>CONCATENATE("000",$E$137,"CTB08XXX,",$FK$137,",",$FL$137,",",$FM$137,",",$FN$137,",",$FO$137,",",$FP$137,",",$FQ$137,",",$FR$137,",",$FS$137,",",$FT$137,",")</f>
        <v>000E5033CTB08XXX,93153.3,0.4,1284.2,7238.4,23739.5,26825.6,23873.1,8138.8,5013.7,423.9,</v>
      </c>
    </row>
    <row r="161" ht="12.75">
      <c r="E161" s="85" t="str">
        <f>CONCATENATE("000",$E$137,"CTB08XXX,",$FU$137,",",$FV$137,",",$FW$137,",",$FX$137,",",$FY$137,",",$FZ$137,",",$GA$137,",",$GB$137,",",$GC$137,",",$GD$137,",")</f>
        <v>000E5033CTB08XXX,96537.6,0,96537.6,0,0,0,0,0,0,0,</v>
      </c>
    </row>
    <row r="162" ht="12.75">
      <c r="E162" s="85" t="str">
        <f>CONCATENATE("000",$E$137,"CTB08XXX,",$GE$137,",",$GF$137,",")</f>
        <v>000E5033CTB08XXX,0,0,</v>
      </c>
    </row>
    <row r="164" ht="12.75">
      <c r="G164" s="85" t="s">
        <v>1067</v>
      </c>
    </row>
    <row r="166" spans="5:9" ht="12.75">
      <c r="E166" s="85" t="s">
        <v>1068</v>
      </c>
      <c r="F166" s="85" t="s">
        <v>120</v>
      </c>
      <c r="G166" s="85" t="s">
        <v>1069</v>
      </c>
      <c r="H166" s="85" t="s">
        <v>1070</v>
      </c>
      <c r="I166" s="85" t="s">
        <v>1071</v>
      </c>
    </row>
    <row r="167" spans="5:9" ht="12.75">
      <c r="E167" s="85" t="str">
        <f>+$E$137</f>
        <v>E5033</v>
      </c>
      <c r="F167" s="85" t="str">
        <f>+$D$17</f>
        <v>Brent</v>
      </c>
      <c r="G167" s="85" t="str">
        <f>+$D$18</f>
        <v>DAVID HUBERMAN</v>
      </c>
      <c r="H167" s="85" t="str">
        <f>+$D$19</f>
        <v>020-8937-1478</v>
      </c>
      <c r="I167" s="85" t="str">
        <f>+$D$21</f>
        <v>david.huberman@brent.gov.uk</v>
      </c>
    </row>
    <row r="170" ht="13.5" thickBot="1"/>
    <row r="171" spans="4:83" ht="12.75">
      <c r="D171" s="474"/>
      <c r="E171" s="363"/>
      <c r="F171" s="363"/>
      <c r="G171" s="363"/>
      <c r="H171" s="363"/>
      <c r="I171" s="363"/>
      <c r="J171" s="363"/>
      <c r="K171" s="363"/>
      <c r="L171" s="363"/>
      <c r="M171" s="363"/>
      <c r="N171" s="363"/>
      <c r="O171" s="363"/>
      <c r="P171" s="363"/>
      <c r="Q171" s="363"/>
      <c r="R171" s="363"/>
      <c r="S171" s="363"/>
      <c r="T171" s="363"/>
      <c r="U171" s="363"/>
      <c r="V171" s="363"/>
      <c r="W171" s="363"/>
      <c r="X171" s="363"/>
      <c r="Y171" s="363"/>
      <c r="Z171" s="363"/>
      <c r="AA171" s="363"/>
      <c r="AB171" s="363"/>
      <c r="AC171" s="363"/>
      <c r="AD171" s="363"/>
      <c r="AE171" s="363"/>
      <c r="AF171" s="363"/>
      <c r="AG171" s="363"/>
      <c r="AH171" s="363"/>
      <c r="AI171" s="363"/>
      <c r="AJ171" s="363"/>
      <c r="AK171" s="363"/>
      <c r="AL171" s="363"/>
      <c r="AM171" s="363"/>
      <c r="AN171" s="363"/>
      <c r="AO171" s="363"/>
      <c r="AP171" s="363"/>
      <c r="AQ171" s="363"/>
      <c r="AR171" s="363"/>
      <c r="AS171" s="363"/>
      <c r="AT171" s="363"/>
      <c r="AU171" s="363"/>
      <c r="AV171" s="363"/>
      <c r="AW171" s="363"/>
      <c r="AX171" s="363"/>
      <c r="AY171" s="363"/>
      <c r="AZ171" s="363"/>
      <c r="BA171" s="363"/>
      <c r="BB171" s="363"/>
      <c r="BC171" s="363"/>
      <c r="BD171" s="363"/>
      <c r="BE171" s="363"/>
      <c r="BF171" s="363"/>
      <c r="BG171" s="363"/>
      <c r="BH171" s="363"/>
      <c r="BI171" s="363"/>
      <c r="BJ171" s="363"/>
      <c r="BK171" s="363"/>
      <c r="BL171" s="363"/>
      <c r="BM171" s="363"/>
      <c r="BN171" s="363"/>
      <c r="BO171" s="363"/>
      <c r="BP171" s="363"/>
      <c r="BQ171" s="363"/>
      <c r="BR171" s="363"/>
      <c r="BS171" s="363"/>
      <c r="BT171" s="363"/>
      <c r="BU171" s="363"/>
      <c r="BV171" s="363"/>
      <c r="BW171" s="363"/>
      <c r="BX171" s="363"/>
      <c r="BY171" s="363"/>
      <c r="BZ171" s="363"/>
      <c r="CA171" s="363"/>
      <c r="CB171" s="363"/>
      <c r="CC171" s="363"/>
      <c r="CD171" s="363"/>
      <c r="CE171" s="363"/>
    </row>
    <row r="172" spans="4:43" ht="12.75">
      <c r="D172" s="601" t="s">
        <v>987</v>
      </c>
      <c r="E172" s="311"/>
      <c r="F172" s="311"/>
      <c r="G172" s="311"/>
      <c r="H172" s="311"/>
      <c r="I172" s="311"/>
      <c r="J172" s="311"/>
      <c r="K172" s="311"/>
      <c r="L172" s="311"/>
      <c r="M172" s="311"/>
      <c r="N172" s="311"/>
      <c r="O172" s="311"/>
      <c r="P172" s="311"/>
      <c r="Q172" s="311"/>
      <c r="R172" s="311"/>
      <c r="S172" s="311"/>
      <c r="T172" s="311"/>
      <c r="U172" s="311"/>
      <c r="V172" s="311"/>
      <c r="W172" s="311"/>
      <c r="X172" s="311"/>
      <c r="Y172" s="311"/>
      <c r="Z172" s="311"/>
      <c r="AA172" s="311"/>
      <c r="AB172" s="311"/>
      <c r="AC172" s="311"/>
      <c r="AD172" s="311"/>
      <c r="AE172" s="311"/>
      <c r="AF172" s="311"/>
      <c r="AG172" s="311"/>
      <c r="AH172" s="311"/>
      <c r="AI172" s="311"/>
      <c r="AJ172" s="311"/>
      <c r="AK172" s="311"/>
      <c r="AL172" s="311"/>
      <c r="AM172" s="311"/>
      <c r="AN172" s="311"/>
      <c r="AO172" s="311"/>
      <c r="AP172" s="311"/>
      <c r="AQ172" s="311"/>
    </row>
    <row r="173" spans="4:43" ht="12.75">
      <c r="D173" s="478"/>
      <c r="E173" s="311"/>
      <c r="F173" s="311"/>
      <c r="G173" s="311"/>
      <c r="H173" s="311"/>
      <c r="I173" s="311"/>
      <c r="J173" s="311"/>
      <c r="K173" s="311"/>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311"/>
      <c r="AP173" s="311"/>
      <c r="AQ173" s="311"/>
    </row>
    <row r="174" spans="4:83" ht="12.75">
      <c r="D174" s="602">
        <f>'CTB Supplementary Form'!F40</f>
        <v>571</v>
      </c>
      <c r="E174" s="481">
        <f>'CTB Supplementary Form'!F42</f>
        <v>175</v>
      </c>
      <c r="F174" s="481">
        <f>'CTB Supplementary Form'!F44</f>
        <v>465</v>
      </c>
      <c r="G174" s="481">
        <f>'CTB Supplementary Form'!F46</f>
        <v>3</v>
      </c>
      <c r="H174" s="481">
        <f>'CTB Supplementary Form'!F48</f>
        <v>65</v>
      </c>
      <c r="I174" s="481">
        <f>'CTB Supplementary Form'!F50</f>
        <v>254</v>
      </c>
      <c r="J174" s="481">
        <f>'CTB Supplementary Form'!F52</f>
        <v>2</v>
      </c>
      <c r="K174" s="481">
        <f>'CTB Supplementary Form'!F54</f>
        <v>5</v>
      </c>
      <c r="L174" s="481">
        <f>'CTB Supplementary Form'!F56</f>
        <v>6</v>
      </c>
      <c r="M174" s="481">
        <f>'CTB Supplementary Form'!F58</f>
        <v>2</v>
      </c>
      <c r="N174" s="481">
        <f>'CTB Supplementary Form'!F60</f>
        <v>4</v>
      </c>
      <c r="O174" s="481">
        <f>'CTB Supplementary Form'!F62</f>
        <v>20</v>
      </c>
      <c r="P174" s="481">
        <f>'CTB Supplementary Form'!F64</f>
        <v>104</v>
      </c>
      <c r="Q174" s="481">
        <f>'CTB Supplementary Form'!F66</f>
        <v>1342</v>
      </c>
      <c r="R174" s="481">
        <f>'CTB Supplementary Form'!F68</f>
        <v>0</v>
      </c>
      <c r="S174" s="481">
        <f>'CTB Supplementary Form'!F70</f>
        <v>4</v>
      </c>
      <c r="T174" s="481">
        <f>'CTB Supplementary Form'!F72</f>
        <v>2</v>
      </c>
      <c r="U174" s="481">
        <f>'CTB Supplementary Form'!F74</f>
        <v>0</v>
      </c>
      <c r="V174" s="481">
        <f>'CTB Supplementary Form'!F76</f>
        <v>13</v>
      </c>
      <c r="W174" s="481">
        <f>'CTB Supplementary Form'!F78</f>
        <v>0</v>
      </c>
      <c r="X174" s="481">
        <f>'CTB Supplementary Form'!F80</f>
        <v>189</v>
      </c>
      <c r="Y174" s="481">
        <f>'CTB Supplementary Form'!F83</f>
        <v>152</v>
      </c>
      <c r="Z174" s="481">
        <f>'CTB Supplementary Form'!F85</f>
        <v>1</v>
      </c>
      <c r="AA174" s="481">
        <f>'CTB Supplementary Form'!F88</f>
        <v>3379</v>
      </c>
      <c r="AB174" s="481">
        <f>Data!DZ10</f>
        <v>2</v>
      </c>
      <c r="AC174" s="481">
        <f>Data!DZ14</f>
        <v>2</v>
      </c>
      <c r="AD174" s="481">
        <f>Data!DZ19</f>
        <v>1</v>
      </c>
      <c r="AE174" s="481">
        <f>Data!DZ23</f>
        <v>1</v>
      </c>
      <c r="AF174" s="481">
        <f>'CTB Supplementary Form'!E141</f>
        <v>0</v>
      </c>
      <c r="AG174" s="481">
        <f>'CTB Supplementary Form'!E142</f>
        <v>0</v>
      </c>
      <c r="AH174" s="481">
        <f>'CTB Supplementary Form'!D143</f>
        <v>889</v>
      </c>
      <c r="AI174" s="481">
        <f>'CTB Supplementary Form'!E143</f>
        <v>1162</v>
      </c>
      <c r="AJ174" s="481">
        <f>'CTB Supplementary Form'!D144</f>
        <v>0</v>
      </c>
      <c r="AK174" s="481">
        <f>'CTB Supplementary Form'!E144</f>
        <v>0</v>
      </c>
      <c r="AL174" s="481">
        <f>'CTB Supplementary Form'!D145</f>
        <v>0</v>
      </c>
      <c r="AM174" s="481">
        <f>'CTB Supplementary Form'!E145</f>
        <v>0</v>
      </c>
      <c r="AN174" s="481">
        <f>'CTB Supplementary Form'!D146</f>
        <v>0</v>
      </c>
      <c r="AO174" s="481">
        <f>'CTB Supplementary Form'!E146</f>
        <v>0</v>
      </c>
      <c r="AP174" s="481">
        <f>'CTB Supplementary Form'!D147</f>
        <v>0</v>
      </c>
      <c r="AQ174" s="481">
        <f>'CTB Supplementary Form'!E147</f>
        <v>0</v>
      </c>
      <c r="AR174" s="481">
        <f>'CTB Supplementary Form'!F178</f>
        <v>5</v>
      </c>
      <c r="AS174" s="481">
        <f>'CTB Supplementary Form'!F180</f>
        <v>143</v>
      </c>
      <c r="AT174" s="481">
        <f>'CTB Supplementary Form'!F182</f>
        <v>0</v>
      </c>
      <c r="AU174" s="481">
        <f>'CTB Supplementary Form'!F184</f>
        <v>0</v>
      </c>
      <c r="AV174" s="481">
        <f>'CTB Supplementary Form'!F186</f>
        <v>0</v>
      </c>
      <c r="AW174" s="481">
        <f>'CTB Supplementary Form'!F188</f>
        <v>661</v>
      </c>
      <c r="AX174" s="481">
        <f>'CTB Supplementary Form'!F190</f>
        <v>2</v>
      </c>
      <c r="AY174" s="481">
        <f>'CTB Supplementary Form'!F192</f>
        <v>0</v>
      </c>
      <c r="AZ174" s="481">
        <f>'CTB Supplementary Form'!F194</f>
        <v>3</v>
      </c>
      <c r="BA174" s="481">
        <f>'CTB Supplementary Form'!F196</f>
        <v>0</v>
      </c>
      <c r="BB174" s="481">
        <f>'CTB Supplementary Form'!F198</f>
        <v>4</v>
      </c>
      <c r="BC174" s="481">
        <f>'CTB Supplementary Form'!F200</f>
        <v>86</v>
      </c>
      <c r="BD174" s="481">
        <f>'CTB Supplementary Form'!F202</f>
        <v>17</v>
      </c>
      <c r="BE174" s="481">
        <f>'CTB Supplementary Form'!F204</f>
        <v>0</v>
      </c>
      <c r="BF174" s="481">
        <f>'CTB Supplementary Form'!F206</f>
        <v>17</v>
      </c>
      <c r="BG174" s="481">
        <f>'CTB Supplementary Form'!F209</f>
        <v>35</v>
      </c>
      <c r="BH174" s="481">
        <f>'CTB Supplementary Form'!F211</f>
        <v>1</v>
      </c>
      <c r="BI174" s="481">
        <f>'CTB Supplementary Form'!F213</f>
        <v>44</v>
      </c>
      <c r="BJ174" s="481">
        <f>'CTB Supplementary Form'!F215</f>
        <v>0</v>
      </c>
      <c r="BK174" s="481">
        <f>'CTB Supplementary Form'!F217</f>
        <v>0</v>
      </c>
      <c r="BL174" s="481">
        <f>'CTB Supplementary Form'!F219</f>
        <v>0</v>
      </c>
      <c r="BM174" s="481">
        <f>'CTB Supplementary Form'!F221</f>
        <v>1</v>
      </c>
      <c r="BN174" s="481">
        <f>'CTB Supplementary Form'!F245</f>
        <v>35</v>
      </c>
      <c r="BO174" s="481">
        <f>'CTB Supplementary Form'!F246</f>
        <v>266</v>
      </c>
      <c r="BP174" s="481">
        <f>'CTB Supplementary Form'!F247</f>
        <v>643</v>
      </c>
      <c r="BQ174" s="481">
        <f>'CTB Supplementary Form'!F248</f>
        <v>363</v>
      </c>
      <c r="BR174" s="481">
        <f>'CTB Supplementary Form'!F249</f>
        <v>162</v>
      </c>
      <c r="BS174" s="481">
        <f>'CTB Supplementary Form'!F250</f>
        <v>40</v>
      </c>
      <c r="BT174" s="481">
        <f>'CTB Supplementary Form'!F251</f>
        <v>19</v>
      </c>
      <c r="BU174" s="481">
        <f>'CTB Supplementary Form'!F252</f>
        <v>0</v>
      </c>
      <c r="BV174" s="481">
        <f>'CTB Supplementary Form'!F253</f>
        <v>1528</v>
      </c>
      <c r="BW174" s="481">
        <f>'CTB Supplementary Form'!F255</f>
        <v>30</v>
      </c>
      <c r="BX174" s="481">
        <f>'CTB Supplementary Form'!F256</f>
        <v>234</v>
      </c>
      <c r="BY174" s="481">
        <f>'CTB Supplementary Form'!F257</f>
        <v>570</v>
      </c>
      <c r="BZ174" s="481">
        <f>'CTB Supplementary Form'!F258</f>
        <v>319</v>
      </c>
      <c r="CA174" s="481">
        <f>'CTB Supplementary Form'!F259</f>
        <v>231</v>
      </c>
      <c r="CB174" s="481">
        <f>'CTB Supplementary Form'!F260</f>
        <v>41</v>
      </c>
      <c r="CC174" s="481">
        <f>'CTB Supplementary Form'!F261</f>
        <v>19</v>
      </c>
      <c r="CD174" s="481">
        <f>'CTB Supplementary Form'!F262</f>
        <v>2</v>
      </c>
      <c r="CE174" s="481">
        <f>'CTB Supplementary Form'!F263</f>
        <v>1446</v>
      </c>
    </row>
    <row r="175" spans="4:83" ht="12.75">
      <c r="D175" s="603"/>
      <c r="E175" s="483"/>
      <c r="F175" s="484"/>
      <c r="G175" s="484"/>
      <c r="H175" s="484"/>
      <c r="I175" s="484"/>
      <c r="J175" s="484"/>
      <c r="K175" s="484"/>
      <c r="L175" s="484"/>
      <c r="M175" s="484"/>
      <c r="N175" s="484"/>
      <c r="O175" s="484"/>
      <c r="P175" s="484"/>
      <c r="Q175" s="484"/>
      <c r="R175" s="484"/>
      <c r="S175" s="484"/>
      <c r="T175" s="484"/>
      <c r="U175" s="484"/>
      <c r="V175" s="484"/>
      <c r="W175" s="484"/>
      <c r="X175" s="484"/>
      <c r="Y175" s="484"/>
      <c r="Z175" s="484"/>
      <c r="AA175" s="484"/>
      <c r="AB175" s="484"/>
      <c r="AC175" s="484"/>
      <c r="AD175" s="484"/>
      <c r="AE175" s="484"/>
      <c r="AF175" s="484"/>
      <c r="AG175" s="484"/>
      <c r="AH175" s="484"/>
      <c r="AI175" s="484"/>
      <c r="AJ175" s="484"/>
      <c r="AK175" s="484"/>
      <c r="AL175" s="484"/>
      <c r="AM175" s="484"/>
      <c r="AN175" s="484"/>
      <c r="AO175" s="484"/>
      <c r="AP175" s="484"/>
      <c r="AQ175" s="484"/>
      <c r="AR175" s="484"/>
      <c r="AS175" s="484"/>
      <c r="AT175" s="484"/>
      <c r="AU175" s="484"/>
      <c r="AV175" s="484"/>
      <c r="AW175" s="484"/>
      <c r="AX175" s="484"/>
      <c r="AY175" s="484"/>
      <c r="AZ175" s="484"/>
      <c r="BA175" s="484"/>
      <c r="BB175" s="484"/>
      <c r="BC175" s="484"/>
      <c r="BD175" s="484"/>
      <c r="BE175" s="484"/>
      <c r="BF175" s="484"/>
      <c r="BG175" s="484"/>
      <c r="BH175" s="484"/>
      <c r="BI175" s="484"/>
      <c r="BJ175" s="484"/>
      <c r="BK175" s="484"/>
      <c r="BL175" s="484"/>
      <c r="BM175" s="484"/>
      <c r="BN175" s="484"/>
      <c r="BO175" s="484"/>
      <c r="BP175" s="484"/>
      <c r="BQ175" s="484"/>
      <c r="BR175" s="484"/>
      <c r="BS175" s="484"/>
      <c r="BT175" s="484"/>
      <c r="BU175" s="484"/>
      <c r="BV175" s="484"/>
      <c r="BW175" s="484"/>
      <c r="BX175" s="484"/>
      <c r="BY175" s="484"/>
      <c r="BZ175" s="484"/>
      <c r="CA175" s="484"/>
      <c r="CB175" s="484"/>
      <c r="CC175" s="484"/>
      <c r="CD175" s="484"/>
      <c r="CE175" s="484"/>
    </row>
    <row r="176" spans="4:83" ht="13.5" thickBot="1">
      <c r="D176" s="485"/>
      <c r="E176" s="367"/>
      <c r="F176" s="367"/>
      <c r="G176" s="367"/>
      <c r="H176" s="367"/>
      <c r="I176" s="367"/>
      <c r="J176" s="367"/>
      <c r="K176" s="367"/>
      <c r="L176" s="367"/>
      <c r="M176" s="367"/>
      <c r="N176" s="367"/>
      <c r="O176" s="367"/>
      <c r="P176" s="367"/>
      <c r="Q176" s="367"/>
      <c r="R176" s="367"/>
      <c r="S176" s="367"/>
      <c r="T176" s="367"/>
      <c r="U176" s="367"/>
      <c r="V176" s="367"/>
      <c r="W176" s="367"/>
      <c r="X176" s="367"/>
      <c r="Y176" s="367"/>
      <c r="Z176" s="367"/>
      <c r="AA176" s="367"/>
      <c r="AB176" s="367"/>
      <c r="AC176" s="367"/>
      <c r="AD176" s="367"/>
      <c r="AE176" s="367"/>
      <c r="AF176" s="367"/>
      <c r="AG176" s="367"/>
      <c r="AH176" s="367"/>
      <c r="AI176" s="367"/>
      <c r="AJ176" s="367"/>
      <c r="AK176" s="367"/>
      <c r="AL176" s="367"/>
      <c r="AM176" s="367"/>
      <c r="AN176" s="367"/>
      <c r="AO176" s="367"/>
      <c r="AP176" s="367"/>
      <c r="AQ176" s="600"/>
      <c r="AR176" s="367"/>
      <c r="AS176" s="367"/>
      <c r="AT176" s="367"/>
      <c r="AU176" s="367"/>
      <c r="AV176" s="367"/>
      <c r="AW176" s="367"/>
      <c r="AX176" s="367"/>
      <c r="AY176" s="367"/>
      <c r="AZ176" s="367"/>
      <c r="BA176" s="367"/>
      <c r="BB176" s="367"/>
      <c r="BC176" s="367"/>
      <c r="BD176" s="367"/>
      <c r="BE176" s="367"/>
      <c r="BF176" s="367"/>
      <c r="BG176" s="367"/>
      <c r="BH176" s="367"/>
      <c r="BI176" s="367"/>
      <c r="BJ176" s="367"/>
      <c r="BK176" s="367"/>
      <c r="BL176" s="367"/>
      <c r="BM176" s="367"/>
      <c r="BN176" s="367"/>
      <c r="BO176" s="367"/>
      <c r="BP176" s="367"/>
      <c r="BQ176" s="367"/>
      <c r="BR176" s="367"/>
      <c r="BS176" s="367"/>
      <c r="BT176" s="367"/>
      <c r="BU176" s="367"/>
      <c r="BV176" s="367"/>
      <c r="BW176" s="367"/>
      <c r="BX176" s="367"/>
      <c r="BY176" s="367"/>
      <c r="BZ176" s="367"/>
      <c r="CA176" s="367"/>
      <c r="CB176" s="367"/>
      <c r="CC176" s="367"/>
      <c r="CD176" s="367"/>
      <c r="CE176" s="367"/>
    </row>
    <row r="181" ht="12.75">
      <c r="E181" s="85" t="s">
        <v>1066</v>
      </c>
    </row>
    <row r="182" ht="12.75">
      <c r="E182" s="85" t="str">
        <f>CONCATENATE("000",$E$137,"CTBs08XXX,",$D$174,",",$E$174,",",$F$174,",",$G$174,",",$H$174,",",$I$174,",",$J$174,",",$K$174,",",$L$174,",",$M$174,",")</f>
        <v>000E5033CTBs08XXX,571,175,465,3,65,254,2,5,6,2,</v>
      </c>
    </row>
    <row r="183" ht="12.75">
      <c r="E183" s="85" t="str">
        <f>CONCATENATE("000",$E$137,"CTBs08XXX,",$N$174,",",$O$174,",",$P$174,",",$Q$174,",",$R$174,",",$S$174,",",$T$174,",",$U$174,",",$V$174,",",$W$174,",")</f>
        <v>000E5033CTBs08XXX,4,20,104,1342,0,4,2,0,13,0,</v>
      </c>
    </row>
    <row r="184" ht="12.75">
      <c r="E184" s="85" t="str">
        <f>CONCATENATE("000",$E$137,"CTBs08XXX,",$X$174,",",$Y$174,",",$Z$174,",",$AA$174,",",$AB$174,",",$AC$174,",",$AD$174,",",$AE$174,",",$AF$174,",",$AG$174,",")</f>
        <v>000E5033CTBs08XXX,189,152,1,3379,2,2,1,1,0,0,</v>
      </c>
    </row>
    <row r="185" ht="12.75">
      <c r="E185" s="85" t="str">
        <f>CONCATENATE("000",$E$137,"CTBs08XXX,",$AH$174,",",$AI$174,",",$AJ$174,",",$AK$174,",",$AL$174,",",$AM$174,",",$AN$174,",",$AO$174,",",$AP$174,",",$AQ$174,",")</f>
        <v>000E5033CTBs08XXX,889,1162,0,0,0,0,0,0,0,0,</v>
      </c>
    </row>
    <row r="186" ht="12.75">
      <c r="E186" s="85" t="str">
        <f>CONCATENATE("000",$E$137,"CTBs08XXX,",$AR$174,",",$AS$174,",",$AT$174,",",$AU$174,",",$AV$174,",",$AW$174,",",$AX$174,",",$AY$174,",",$AZ$174,",",$BA$174,",")</f>
        <v>000E5033CTBs08XXX,5,143,0,0,0,661,2,0,3,0,</v>
      </c>
    </row>
    <row r="187" ht="12.75">
      <c r="E187" s="85" t="str">
        <f>CONCATENATE("000",$E$137,"CTBs08XXX,",$BB$174,",",$BC$174,",",$BD$174,",",$BE$174,",",$BF$174,",",$BG$174,",",$BH$174,",",$BI$174,",",$BJ$174,",",$BK$174,",")</f>
        <v>000E5033CTBs08XXX,4,86,17,0,17,35,1,44,0,0,</v>
      </c>
    </row>
    <row r="188" ht="12.75">
      <c r="E188" s="85" t="str">
        <f>CONCATENATE("000",$E$137,"CTBs08XXX,",$BL$174,",",$BM$174,",",$BN$174,",",$BO$174,",",$BP$174,",",$BQ$174,",",$BR$174,",",$BS$174,",",$BT$174,",",$BU$174,",")</f>
        <v>000E5033CTBs08XXX,0,1,35,266,643,363,162,40,19,0,</v>
      </c>
    </row>
    <row r="189" ht="12.75">
      <c r="E189" s="85" t="str">
        <f>CONCATENATE("000",$E$137,"CTBs08XXX,",$BV$174,",",$BW$174,",",$BX$174,",",$BY$174,",",$BZ$174,",",$CA$174,",",$CB$174,",",$CC$174,",",$CD$174,",",$CE$174,",")</f>
        <v>000E5033CTBs08XXX,1528,30,234,570,319,231,41,19,2,1446,</v>
      </c>
    </row>
  </sheetData>
  <sheetProtection sheet="1" objects="1" scenarios="1" selectLockedCells="1"/>
  <mergeCells count="69">
    <mergeCell ref="FX138:GF138"/>
    <mergeCell ref="Y138:AG138"/>
    <mergeCell ref="ER138:FA138"/>
    <mergeCell ref="FB138:FK138"/>
    <mergeCell ref="FL138:FU138"/>
    <mergeCell ref="EH138:EQ138"/>
    <mergeCell ref="CM138:CV138"/>
    <mergeCell ref="CW138:DE138"/>
    <mergeCell ref="DF138:DN138"/>
    <mergeCell ref="DO138:DX138"/>
    <mergeCell ref="A3:N3"/>
    <mergeCell ref="B79:D79"/>
    <mergeCell ref="B6:N6"/>
    <mergeCell ref="B7:N7"/>
    <mergeCell ref="B8:N8"/>
    <mergeCell ref="D17:G17"/>
    <mergeCell ref="D18:G18"/>
    <mergeCell ref="D19:G19"/>
    <mergeCell ref="B32:C32"/>
    <mergeCell ref="B41:C41"/>
    <mergeCell ref="D27:M27"/>
    <mergeCell ref="B66:I66"/>
    <mergeCell ref="D29:M29"/>
    <mergeCell ref="D31:M31"/>
    <mergeCell ref="D35:M35"/>
    <mergeCell ref="B60:C60"/>
    <mergeCell ref="B42:C42"/>
    <mergeCell ref="B38:C38"/>
    <mergeCell ref="B52:C52"/>
    <mergeCell ref="B48:C48"/>
    <mergeCell ref="D20:G20"/>
    <mergeCell ref="D21:G21"/>
    <mergeCell ref="R24:Z24"/>
    <mergeCell ref="AC24:AK24"/>
    <mergeCell ref="B28:C28"/>
    <mergeCell ref="B26:C26"/>
    <mergeCell ref="B30:C30"/>
    <mergeCell ref="B34:C34"/>
    <mergeCell ref="B50:C50"/>
    <mergeCell ref="B46:C46"/>
    <mergeCell ref="B36:C36"/>
    <mergeCell ref="D49:M49"/>
    <mergeCell ref="B40:C40"/>
    <mergeCell ref="B44:C44"/>
    <mergeCell ref="D41:M41"/>
    <mergeCell ref="D43:M43"/>
    <mergeCell ref="D45:M45"/>
    <mergeCell ref="D47:M47"/>
    <mergeCell ref="D53:M53"/>
    <mergeCell ref="D55:M55"/>
    <mergeCell ref="D57:M57"/>
    <mergeCell ref="E138:F138"/>
    <mergeCell ref="G138:O138"/>
    <mergeCell ref="B82:N84"/>
    <mergeCell ref="B64:L64"/>
    <mergeCell ref="B62:C62"/>
    <mergeCell ref="B56:C56"/>
    <mergeCell ref="B58:C58"/>
    <mergeCell ref="DY138:EG138"/>
    <mergeCell ref="BS138:CB138"/>
    <mergeCell ref="CC138:CL138"/>
    <mergeCell ref="B68:C68"/>
    <mergeCell ref="J65:M65"/>
    <mergeCell ref="BI138:BR138"/>
    <mergeCell ref="D69:M69"/>
    <mergeCell ref="P138:X138"/>
    <mergeCell ref="AH138:AP138"/>
    <mergeCell ref="AQ138:AY138"/>
    <mergeCell ref="AZ138:BH138"/>
  </mergeCells>
  <conditionalFormatting sqref="O30">
    <cfRule type="expression" priority="1" dxfId="0" stopIfTrue="1">
      <formula>P30=1</formula>
    </cfRule>
  </conditionalFormatting>
  <conditionalFormatting sqref="E26:M26">
    <cfRule type="cellIs" priority="2" dxfId="1" operator="notBetween" stopIfTrue="1">
      <formula>0</formula>
      <formula>10000000000</formula>
    </cfRule>
    <cfRule type="expression" priority="3" dxfId="2" stopIfTrue="1">
      <formula>AD26=1</formula>
    </cfRule>
  </conditionalFormatting>
  <conditionalFormatting sqref="M30">
    <cfRule type="expression" priority="4" dxfId="1" stopIfTrue="1">
      <formula>AA$30=1</formula>
    </cfRule>
    <cfRule type="expression" priority="5" dxfId="2" stopIfTrue="1">
      <formula>AL$30=1</formula>
    </cfRule>
  </conditionalFormatting>
  <conditionalFormatting sqref="D57:M57">
    <cfRule type="expression" priority="6" dxfId="3" stopIfTrue="1">
      <formula>AA56&gt;0</formula>
    </cfRule>
  </conditionalFormatting>
  <conditionalFormatting sqref="D31:M31 D35:M35 D41:M41 D55:M55 D43:M43 D45:M45 D47:M47 D49:M49 D27:M27 D53:M53 D29:M29">
    <cfRule type="expression" priority="7" dxfId="3" stopIfTrue="1">
      <formula>AA26&gt;1</formula>
    </cfRule>
    <cfRule type="expression" priority="8" dxfId="4" stopIfTrue="1">
      <formula>P26=1</formula>
    </cfRule>
    <cfRule type="expression" priority="9" dxfId="3" stopIfTrue="1">
      <formula>P26&gt;1</formula>
    </cfRule>
  </conditionalFormatting>
  <conditionalFormatting sqref="J65:L65">
    <cfRule type="expression" priority="10" dxfId="3" stopIfTrue="1">
      <formula>AA64&gt;0</formula>
    </cfRule>
  </conditionalFormatting>
  <conditionalFormatting sqref="M28">
    <cfRule type="expression" priority="11" dxfId="1" stopIfTrue="1">
      <formula>AA28=1</formula>
    </cfRule>
    <cfRule type="expression" priority="12" dxfId="2" stopIfTrue="1">
      <formula>AA28=1</formula>
    </cfRule>
  </conditionalFormatting>
  <conditionalFormatting sqref="E46:L46 E30:L30 E34:L34 D40:L40 D42:L42 D44:L44 E52:L52 E54:L54">
    <cfRule type="expression" priority="13" dxfId="1" stopIfTrue="1">
      <formula>R30=1</formula>
    </cfRule>
    <cfRule type="cellIs" priority="14" dxfId="5" operator="equal" stopIfTrue="1">
      <formula>""</formula>
    </cfRule>
    <cfRule type="expression" priority="15" dxfId="2" stopIfTrue="1">
      <formula>AC30=1</formula>
    </cfRule>
  </conditionalFormatting>
  <conditionalFormatting sqref="E48:L48 E28:L28">
    <cfRule type="expression" priority="16" dxfId="1" stopIfTrue="1">
      <formula>S28=1</formula>
    </cfRule>
    <cfRule type="cellIs" priority="17" dxfId="5" operator="equal" stopIfTrue="1">
      <formula>""</formula>
    </cfRule>
    <cfRule type="expression" priority="18" dxfId="2" stopIfTrue="1">
      <formula>AD28</formula>
    </cfRule>
  </conditionalFormatting>
  <conditionalFormatting sqref="E68:L68">
    <cfRule type="expression" priority="19" dxfId="1" stopIfTrue="1">
      <formula>S68=1</formula>
    </cfRule>
    <cfRule type="cellIs" priority="20" dxfId="5" operator="equal" stopIfTrue="1">
      <formula>""</formula>
    </cfRule>
  </conditionalFormatting>
  <conditionalFormatting sqref="D69:M69">
    <cfRule type="expression" priority="21" dxfId="3" stopIfTrue="1">
      <formula>AA68&gt;1</formula>
    </cfRule>
  </conditionalFormatting>
  <conditionalFormatting sqref="B79:D79">
    <cfRule type="expression" priority="22" dxfId="6" stopIfTrue="1">
      <formula>$AA$79&lt;&gt;0</formula>
    </cfRule>
  </conditionalFormatting>
  <conditionalFormatting sqref="D56:M56">
    <cfRule type="cellIs" priority="23" dxfId="1" operator="lessThan" stopIfTrue="1">
      <formula>0</formula>
    </cfRule>
  </conditionalFormatting>
  <conditionalFormatting sqref="M64">
    <cfRule type="expression" priority="24" dxfId="1" stopIfTrue="1">
      <formula>$AA$64=1</formula>
    </cfRule>
  </conditionalFormatting>
  <conditionalFormatting sqref="G5">
    <cfRule type="cellIs" priority="25" dxfId="1" operator="notBetween" stopIfTrue="1">
      <formula>1</formula>
      <formula>475</formula>
    </cfRule>
  </conditionalFormatting>
  <conditionalFormatting sqref="C54">
    <cfRule type="expression" priority="26" dxfId="7" stopIfTrue="1">
      <formula>AND(ISBLANK($C$54),$M$54=0)</formula>
    </cfRule>
    <cfRule type="expression" priority="27" dxfId="2" stopIfTrue="1">
      <formula>AND(ISBLANK($C$54),$M$54&gt;0)</formula>
    </cfRule>
    <cfRule type="expression" priority="28" dxfId="1" stopIfTrue="1">
      <formula>OR((ISTEXT($C$54)),$C$54&lt;0,$C$54=0,$C$54&gt;50,$C$54=50)</formula>
    </cfRule>
  </conditionalFormatting>
  <dataValidations count="11">
    <dataValidation errorStyle="warning" type="whole" operator="equal" allowBlank="1" showInputMessage="1" showErrorMessage="1" promptTitle="Check differences with VO" prompt="Changes should only be made where the VOA writes to us confirming that the figures they have supplied are incorrect and that the authority's figures can be accepted." errorTitle="Does not match VOA Data" error="Differences can only be accepted where the VOA writes to us confirming that the figures they have supplied are incorrect and that the authority's figures should be accepted." sqref="M26">
      <formula1>AA26</formula1>
    </dataValidation>
    <dataValidation type="custom" operator="lessThanOrEqual" allowBlank="1" showInputMessage="1" showErrorMessage="1" errorTitle="Value is negative or too high" error="This number of dwellings can not be negative or inconsistent with what is entered in line 1 and line 3." sqref="E52:L52 E30:L30 E28:L28 E34:L34 D40:L40 D42:L42 E46:L46 E48:L48 D44:L44 E54:L54">
      <formula1>S52=0</formula1>
    </dataValidation>
    <dataValidation type="custom" operator="lessThan" allowBlank="1" showInputMessage="1" showErrorMessage="1" errorTitle="Value is negative or too high" error="This number of dwellings can not be negative or inconsistent with what is entered in line 1 and line 2." sqref="M28 M30">
      <formula1>AA28=0</formula1>
    </dataValidation>
    <dataValidation type="whole" operator="lessThan" allowBlank="1" showInputMessage="1" showErrorMessage="1" error="Should not be negative" sqref="D56:L56">
      <formula1>0</formula1>
    </dataValidation>
    <dataValidation type="whole" showInputMessage="1" showErrorMessage="1" sqref="G5">
      <formula1>0</formula1>
      <formula2>355</formula2>
    </dataValidation>
    <dataValidation type="textLength" operator="lessThan" allowBlank="1" showInputMessage="1" showErrorMessage="1" error="please do not amend or delete this line" sqref="D29:M29">
      <formula1>0</formula1>
    </dataValidation>
    <dataValidation type="textLength" operator="lessThan" allowBlank="1" showInputMessage="1" showErrorMessage="1" error="Please do not amend or delete this line" sqref="D27:M27">
      <formula1>0</formula1>
    </dataValidation>
    <dataValidation type="custom" operator="equal" allowBlank="1" showInputMessage="1" showErrorMessage="1" prompt="Please ensure figure is entered to one decimal place&#10;" error="Please ensure figure is entered to one decimal place and is not negative" sqref="M64">
      <formula1>AA64=0</formula1>
    </dataValidation>
    <dataValidation errorStyle="warning" type="whole" operator="equal" allowBlank="1" showInputMessage="1" showErrorMessage="1" promptTitle="This should match VOA Data" prompt="Any differences should be investigated immediately with your Local Valuation Office.  Revisions should only be made if confirmed in writing by the Local Valuation Office." errorTitle="This should match VOA Data" error="Any differences should be investigated immediately with your Local Valuation Office.  Revisions should only be made if confirmed in writing by the Local Valuation Office." sqref="E26:L26">
      <formula1>AD26=1</formula1>
    </dataValidation>
    <dataValidation type="decimal" allowBlank="1" showInputMessage="1" showErrorMessage="1" promptTitle="Reduced discount rate" prompt="Please enter a discount rate greater than 0 and lower than 50." errorTitle="Discount rate invalid" error="The discount rate must be a number greater than 0 and lower than 50." sqref="C54">
      <formula1>1E-30</formula1>
      <formula2>49.9999999999999</formula2>
    </dataValidation>
    <dataValidation type="custom" operator="lessThanOrEqual" allowBlank="1" showInputMessage="1" showErrorMessage="1" errorTitle="Value is negative or too high" error="This number of dwellings can not be negative or inconsistent with what is entered in line 2." sqref="E68:L68">
      <formula1>S68=0</formula1>
    </dataValidation>
  </dataValidations>
  <hyperlinks>
    <hyperlink ref="D53:E53" location="Validation!O23" display="Validation!O23"/>
    <hyperlink ref="D35:E35" location="Validation!O23" display="Validation!O23"/>
    <hyperlink ref="D35:M35" location="Validation!A56" display="Validation!A56"/>
    <hyperlink ref="D27:E27" location="Validation!O23" display="Validation!O23"/>
    <hyperlink ref="D27:M27" location="Validation!A9" display="Validation!A9"/>
    <hyperlink ref="D31:E31" location="Validation!O23" display="Validation!O23"/>
    <hyperlink ref="D31:M31" location="Validation!A38" display="Validation!A38"/>
    <hyperlink ref="D41:E41" location="Validation!O23" display="Validation!O23"/>
    <hyperlink ref="D41:M41" location="Validation!A84" display="Validation!A84"/>
    <hyperlink ref="D43:E43" location="Validation!O23" display="Validation!O23"/>
    <hyperlink ref="D43:M43" location="Validation!A94" display="Validation!A94"/>
    <hyperlink ref="D45:E45" location="Validation!O23" display="Validation!O23"/>
    <hyperlink ref="D45:M45" location="Validation!A112" display="Validation!A112"/>
    <hyperlink ref="D47:E47" location="Validation!O23" display="Validation!O23"/>
    <hyperlink ref="D47:M47" location="Validation!A130" display="Validation!A130"/>
    <hyperlink ref="D49:E49" location="Validation!O23" display="Validation!O23"/>
    <hyperlink ref="D49:M49" location="Validation!A149" display="Validation!A149"/>
    <hyperlink ref="D53:M53" location="Validation!D158" display="Validation!D158"/>
    <hyperlink ref="D29:M29" location="Validation!A20" display="Validation!A20"/>
    <hyperlink ref="D55:M55" location="Validation!A168" display="Validation!A168"/>
    <hyperlink ref="D55:E55" location="Validation!O23" display="Validation!O23"/>
    <hyperlink ref="D69:M69" location="Validation!A168" display="Validation!A168"/>
    <hyperlink ref="D69:E69" location="Validation!O23" display="Validation!O23"/>
  </hyperlinks>
  <printOptions horizontalCentered="1" verticalCentered="1"/>
  <pageMargins left="0" right="0" top="0" bottom="0" header="0.11811023622047245" footer="0.11811023622047245"/>
  <pageSetup fitToHeight="1" fitToWidth="1" horizontalDpi="600" verticalDpi="600" orientation="portrait" paperSize="9" scale="42" r:id="rId3"/>
  <headerFooter alignWithMargins="0">
    <oddHeader>&amp;C&amp;A</oddHeader>
    <oddFooter>&amp;LPrinted at &amp;T on &amp;D</oddFooter>
  </headerFooter>
  <rowBreaks count="1" manualBreakCount="1">
    <brk id="85" max="255" man="1"/>
  </rowBreaks>
  <ignoredErrors>
    <ignoredError sqref="D23 D17" unlockedFormula="1"/>
  </ignoredErrors>
  <drawing r:id="rId2"/>
  <legacyDrawing r:id="rId1"/>
</worksheet>
</file>

<file path=xl/worksheets/sheet3.xml><?xml version="1.0" encoding="utf-8"?>
<worksheet xmlns="http://schemas.openxmlformats.org/spreadsheetml/2006/main" xmlns:r="http://schemas.openxmlformats.org/officeDocument/2006/relationships">
  <dimension ref="A1:HT1805"/>
  <sheetViews>
    <sheetView showGridLines="0" zoomScale="75" zoomScaleNormal="75" zoomScaleSheetLayoutView="75" workbookViewId="0" topLeftCell="A248">
      <selection activeCell="B272" sqref="B272:F284"/>
    </sheetView>
  </sheetViews>
  <sheetFormatPr defaultColWidth="18.7109375" defaultRowHeight="12.75"/>
  <cols>
    <col min="1" max="1" width="7.7109375" style="183" customWidth="1"/>
    <col min="2" max="2" width="10.28125" style="85" customWidth="1"/>
    <col min="3" max="3" width="85.7109375" style="85" customWidth="1"/>
    <col min="4" max="4" width="35.57421875" style="85" customWidth="1"/>
    <col min="5" max="5" width="8.421875" style="85" customWidth="1"/>
    <col min="6" max="6" width="27.8515625" style="85" customWidth="1"/>
    <col min="7" max="7" width="7.7109375" style="183" customWidth="1"/>
    <col min="8" max="8" width="18.7109375" style="546" customWidth="1"/>
    <col min="9" max="9" width="17.140625" style="487" bestFit="1" customWidth="1"/>
    <col min="10" max="10" width="9.57421875" style="487" customWidth="1"/>
    <col min="11" max="11" width="27.7109375" style="487" bestFit="1" customWidth="1"/>
    <col min="12" max="12" width="16.421875" style="487" bestFit="1" customWidth="1"/>
    <col min="13" max="20" width="6.7109375" style="487" customWidth="1"/>
    <col min="21" max="74" width="6.7109375" style="85" customWidth="1"/>
    <col min="75" max="75" width="5.7109375" style="85" customWidth="1"/>
    <col min="76" max="76" width="9.57421875" style="85" customWidth="1"/>
    <col min="77" max="16384" width="18.7109375" style="85" customWidth="1"/>
  </cols>
  <sheetData>
    <row r="1" spans="1:7" ht="4.5" customHeight="1">
      <c r="A1" s="260"/>
      <c r="B1" s="537"/>
      <c r="C1" s="537"/>
      <c r="D1" s="537"/>
      <c r="E1" s="537"/>
      <c r="F1" s="537"/>
      <c r="G1" s="538"/>
    </row>
    <row r="2" spans="1:7" ht="12.75">
      <c r="A2" s="244"/>
      <c r="B2" s="221"/>
      <c r="C2" s="221"/>
      <c r="D2" s="221"/>
      <c r="E2" s="221"/>
      <c r="F2" s="221"/>
      <c r="G2" s="235"/>
    </row>
    <row r="3" spans="1:7" ht="12.75">
      <c r="A3" s="244"/>
      <c r="B3" s="221"/>
      <c r="C3" s="221"/>
      <c r="D3" s="221"/>
      <c r="E3" s="221"/>
      <c r="F3" s="221"/>
      <c r="G3" s="235"/>
    </row>
    <row r="4" spans="1:7" ht="12.75">
      <c r="A4" s="244"/>
      <c r="B4" s="221"/>
      <c r="C4" s="221"/>
      <c r="D4" s="221"/>
      <c r="E4" s="221"/>
      <c r="F4" s="221"/>
      <c r="G4" s="235"/>
    </row>
    <row r="5" spans="1:7" ht="12.75">
      <c r="A5" s="244"/>
      <c r="B5" s="221"/>
      <c r="C5" s="221"/>
      <c r="D5" s="221"/>
      <c r="E5" s="221"/>
      <c r="F5" s="221"/>
      <c r="G5" s="235"/>
    </row>
    <row r="6" spans="1:7" ht="12.75">
      <c r="A6" s="244"/>
      <c r="B6" s="221"/>
      <c r="C6" s="220"/>
      <c r="D6" s="220"/>
      <c r="E6" s="220"/>
      <c r="F6" s="220"/>
      <c r="G6" s="235"/>
    </row>
    <row r="7" spans="1:24" ht="23.25">
      <c r="A7" s="539"/>
      <c r="B7" s="715" t="s">
        <v>67</v>
      </c>
      <c r="C7" s="715"/>
      <c r="D7" s="715"/>
      <c r="E7" s="715"/>
      <c r="F7" s="715"/>
      <c r="G7" s="540"/>
      <c r="H7" s="547"/>
      <c r="I7" s="488"/>
      <c r="J7" s="488"/>
      <c r="K7" s="488"/>
      <c r="L7" s="488"/>
      <c r="M7" s="488"/>
      <c r="N7" s="488"/>
      <c r="O7" s="488"/>
      <c r="P7" s="488"/>
      <c r="Q7" s="488"/>
      <c r="R7" s="488"/>
      <c r="S7" s="488"/>
      <c r="T7" s="488"/>
      <c r="U7" s="184"/>
      <c r="V7" s="184"/>
      <c r="W7" s="184"/>
      <c r="X7" s="184"/>
    </row>
    <row r="8" spans="1:24" ht="15.75">
      <c r="A8" s="539"/>
      <c r="B8" s="717" t="s">
        <v>980</v>
      </c>
      <c r="C8" s="717"/>
      <c r="D8" s="717"/>
      <c r="E8" s="717"/>
      <c r="F8" s="717"/>
      <c r="G8" s="540"/>
      <c r="H8" s="547"/>
      <c r="I8" s="488"/>
      <c r="J8" s="488"/>
      <c r="K8" s="488"/>
      <c r="L8" s="488"/>
      <c r="M8" s="488"/>
      <c r="N8" s="488"/>
      <c r="O8" s="488"/>
      <c r="P8" s="488"/>
      <c r="Q8" s="488"/>
      <c r="R8" s="488"/>
      <c r="S8" s="488"/>
      <c r="T8" s="488"/>
      <c r="U8" s="184"/>
      <c r="V8" s="184"/>
      <c r="W8" s="184"/>
      <c r="X8" s="184"/>
    </row>
    <row r="9" spans="1:24" ht="15.75">
      <c r="A9" s="539"/>
      <c r="B9" s="334"/>
      <c r="C9" s="334"/>
      <c r="D9" s="334"/>
      <c r="E9" s="334"/>
      <c r="F9" s="334"/>
      <c r="G9" s="540"/>
      <c r="H9" s="547"/>
      <c r="I9" s="488"/>
      <c r="J9" s="488"/>
      <c r="K9" s="488"/>
      <c r="L9" s="488"/>
      <c r="M9" s="488"/>
      <c r="N9" s="488"/>
      <c r="O9" s="488"/>
      <c r="P9" s="488"/>
      <c r="Q9" s="488"/>
      <c r="R9" s="488"/>
      <c r="S9" s="488"/>
      <c r="T9" s="488"/>
      <c r="U9" s="184"/>
      <c r="V9" s="184"/>
      <c r="W9" s="184"/>
      <c r="X9" s="184"/>
    </row>
    <row r="10" spans="1:24" ht="16.5" thickBot="1">
      <c r="A10" s="541"/>
      <c r="B10" s="542">
        <v>3</v>
      </c>
      <c r="C10" s="236"/>
      <c r="D10" s="236"/>
      <c r="E10" s="236"/>
      <c r="F10" s="236"/>
      <c r="G10" s="543"/>
      <c r="H10" s="547"/>
      <c r="I10" s="488"/>
      <c r="J10" s="488"/>
      <c r="K10" s="488"/>
      <c r="L10" s="488"/>
      <c r="M10" s="488"/>
      <c r="N10" s="488"/>
      <c r="O10" s="488"/>
      <c r="P10" s="488"/>
      <c r="Q10" s="488"/>
      <c r="R10" s="488"/>
      <c r="S10" s="488"/>
      <c r="T10" s="488"/>
      <c r="U10" s="184"/>
      <c r="V10" s="184"/>
      <c r="W10" s="184"/>
      <c r="X10" s="184"/>
    </row>
    <row r="11" spans="1:24" ht="15.75">
      <c r="A11" s="245"/>
      <c r="B11" s="246"/>
      <c r="C11" s="185"/>
      <c r="D11" s="186"/>
      <c r="E11" s="186"/>
      <c r="F11" s="186"/>
      <c r="G11" s="187"/>
      <c r="I11" s="488"/>
      <c r="J11" s="488"/>
      <c r="K11" s="488"/>
      <c r="L11" s="488"/>
      <c r="M11" s="488"/>
      <c r="N11" s="488"/>
      <c r="O11" s="488"/>
      <c r="P11" s="488"/>
      <c r="Q11" s="488"/>
      <c r="R11" s="488"/>
      <c r="S11" s="488"/>
      <c r="T11" s="488"/>
      <c r="U11" s="184"/>
      <c r="V11" s="184"/>
      <c r="W11" s="184"/>
      <c r="X11" s="184"/>
    </row>
    <row r="12" spans="1:24" ht="15.75">
      <c r="A12" s="188"/>
      <c r="B12" s="189"/>
      <c r="C12" s="191" t="s">
        <v>114</v>
      </c>
      <c r="D12" s="783" t="str">
        <f>+'CTB Form'!D17</f>
        <v>Brent</v>
      </c>
      <c r="E12" s="784"/>
      <c r="F12" s="189"/>
      <c r="G12" s="190"/>
      <c r="I12" s="488"/>
      <c r="J12" s="488"/>
      <c r="K12" s="488"/>
      <c r="L12" s="488"/>
      <c r="M12" s="488"/>
      <c r="N12" s="488"/>
      <c r="O12" s="488"/>
      <c r="P12" s="488"/>
      <c r="Q12" s="488"/>
      <c r="R12" s="488"/>
      <c r="S12" s="488"/>
      <c r="T12" s="488"/>
      <c r="U12" s="184"/>
      <c r="V12" s="184"/>
      <c r="W12" s="184"/>
      <c r="X12" s="184"/>
    </row>
    <row r="13" spans="1:24" ht="15.75">
      <c r="A13" s="188"/>
      <c r="B13" s="247"/>
      <c r="C13" s="191" t="s">
        <v>115</v>
      </c>
      <c r="D13" s="783" t="str">
        <f>+'CTB Form'!D18</f>
        <v>DAVID HUBERMAN</v>
      </c>
      <c r="E13" s="784"/>
      <c r="F13" s="189"/>
      <c r="G13" s="190"/>
      <c r="I13" s="488"/>
      <c r="J13" s="488"/>
      <c r="K13" s="488"/>
      <c r="L13" s="488"/>
      <c r="M13" s="488"/>
      <c r="N13" s="488"/>
      <c r="O13" s="488"/>
      <c r="P13" s="488"/>
      <c r="Q13" s="488"/>
      <c r="R13" s="488"/>
      <c r="S13" s="488"/>
      <c r="T13" s="488"/>
      <c r="U13" s="184"/>
      <c r="V13" s="184"/>
      <c r="W13" s="184"/>
      <c r="X13" s="184"/>
    </row>
    <row r="14" spans="1:24" ht="15.75">
      <c r="A14" s="188"/>
      <c r="B14" s="189"/>
      <c r="C14" s="191" t="s">
        <v>1017</v>
      </c>
      <c r="D14" s="783" t="str">
        <f>+'CTB Form'!D19</f>
        <v>020-8937-1478</v>
      </c>
      <c r="E14" s="784"/>
      <c r="F14" s="189"/>
      <c r="G14" s="190"/>
      <c r="I14" s="488"/>
      <c r="J14" s="488"/>
      <c r="K14" s="488"/>
      <c r="L14" s="488"/>
      <c r="M14" s="488"/>
      <c r="N14" s="488"/>
      <c r="O14" s="488"/>
      <c r="P14" s="488"/>
      <c r="Q14" s="488"/>
      <c r="R14" s="488"/>
      <c r="S14" s="488"/>
      <c r="T14" s="488"/>
      <c r="U14" s="184"/>
      <c r="V14" s="184"/>
      <c r="W14" s="184"/>
      <c r="X14" s="184"/>
    </row>
    <row r="15" spans="1:24" ht="15.75">
      <c r="A15" s="188"/>
      <c r="B15" s="189"/>
      <c r="C15" s="191" t="s">
        <v>1018</v>
      </c>
      <c r="D15" s="783" t="str">
        <f>+'CTB Form'!D20</f>
        <v>020-8937-1399</v>
      </c>
      <c r="E15" s="784"/>
      <c r="F15" s="189"/>
      <c r="G15" s="190"/>
      <c r="I15" s="488"/>
      <c r="J15" s="488"/>
      <c r="K15" s="488"/>
      <c r="L15" s="488"/>
      <c r="M15" s="488"/>
      <c r="N15" s="488"/>
      <c r="O15" s="488"/>
      <c r="P15" s="488"/>
      <c r="Q15" s="488"/>
      <c r="R15" s="488"/>
      <c r="S15" s="488"/>
      <c r="T15" s="488"/>
      <c r="U15" s="184"/>
      <c r="V15" s="184"/>
      <c r="W15" s="184"/>
      <c r="X15" s="184"/>
    </row>
    <row r="16" spans="1:24" ht="15.75">
      <c r="A16" s="188"/>
      <c r="B16" s="189"/>
      <c r="C16" s="191" t="s">
        <v>1019</v>
      </c>
      <c r="D16" s="783" t="str">
        <f>+'CTB Form'!D21</f>
        <v>david.huberman@brent.gov.uk</v>
      </c>
      <c r="E16" s="784"/>
      <c r="F16" s="189"/>
      <c r="G16" s="190"/>
      <c r="I16" s="488"/>
      <c r="J16" s="488"/>
      <c r="K16" s="488"/>
      <c r="L16" s="488"/>
      <c r="M16" s="488"/>
      <c r="N16" s="488"/>
      <c r="O16" s="488"/>
      <c r="P16" s="488"/>
      <c r="Q16" s="488"/>
      <c r="R16" s="488"/>
      <c r="S16" s="488"/>
      <c r="T16" s="488"/>
      <c r="U16" s="184"/>
      <c r="V16" s="184"/>
      <c r="W16" s="184"/>
      <c r="X16" s="184"/>
    </row>
    <row r="17" spans="1:24" ht="13.5" thickBot="1">
      <c r="A17" s="192"/>
      <c r="B17" s="193"/>
      <c r="C17" s="193"/>
      <c r="D17" s="193"/>
      <c r="E17" s="193"/>
      <c r="F17" s="193"/>
      <c r="G17" s="194"/>
      <c r="I17" s="488"/>
      <c r="J17" s="488"/>
      <c r="K17" s="488"/>
      <c r="L17" s="488"/>
      <c r="M17" s="488"/>
      <c r="N17" s="488"/>
      <c r="O17" s="488"/>
      <c r="P17" s="488"/>
      <c r="Q17" s="488"/>
      <c r="R17" s="488"/>
      <c r="S17" s="488"/>
      <c r="T17" s="488"/>
      <c r="U17" s="184"/>
      <c r="V17" s="184"/>
      <c r="W17" s="184"/>
      <c r="X17" s="184"/>
    </row>
    <row r="18" spans="1:24" ht="19.5" thickBot="1">
      <c r="A18" s="541"/>
      <c r="B18" s="765" t="s">
        <v>23</v>
      </c>
      <c r="C18" s="765"/>
      <c r="D18" s="765"/>
      <c r="E18" s="765"/>
      <c r="F18" s="765"/>
      <c r="G18" s="543"/>
      <c r="H18" s="548"/>
      <c r="I18" s="488"/>
      <c r="J18" s="488"/>
      <c r="K18" s="488"/>
      <c r="L18" s="488"/>
      <c r="M18" s="488"/>
      <c r="N18" s="488"/>
      <c r="O18" s="488"/>
      <c r="P18" s="488"/>
      <c r="Q18" s="488"/>
      <c r="R18" s="488"/>
      <c r="S18" s="488"/>
      <c r="T18" s="488"/>
      <c r="U18" s="184"/>
      <c r="V18" s="184"/>
      <c r="W18" s="184"/>
      <c r="X18" s="184"/>
    </row>
    <row r="19" spans="1:91" s="140" customFormat="1" ht="15">
      <c r="A19" s="262"/>
      <c r="B19" s="263"/>
      <c r="C19" s="263"/>
      <c r="D19" s="263"/>
      <c r="E19" s="263"/>
      <c r="F19" s="263"/>
      <c r="G19" s="264"/>
      <c r="H19" s="549"/>
      <c r="I19" s="550"/>
      <c r="J19" s="550"/>
      <c r="K19" s="550"/>
      <c r="L19" s="551"/>
      <c r="M19" s="551"/>
      <c r="N19" s="551"/>
      <c r="O19" s="551"/>
      <c r="P19" s="551"/>
      <c r="Q19" s="552"/>
      <c r="R19" s="552"/>
      <c r="S19" s="552"/>
      <c r="T19" s="552"/>
      <c r="U19" s="525"/>
      <c r="V19" s="525"/>
      <c r="W19" s="525"/>
      <c r="X19" s="525"/>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4"/>
      <c r="AV19" s="524"/>
      <c r="AW19" s="524"/>
      <c r="AX19" s="524"/>
      <c r="AY19" s="524"/>
      <c r="AZ19" s="524"/>
      <c r="BA19" s="524"/>
      <c r="BB19" s="524"/>
      <c r="BC19" s="524"/>
      <c r="BD19" s="524"/>
      <c r="BE19" s="524"/>
      <c r="BF19" s="524"/>
      <c r="BG19" s="524"/>
      <c r="BH19" s="524"/>
      <c r="BI19" s="524"/>
      <c r="BJ19" s="524"/>
      <c r="BK19" s="524"/>
      <c r="BL19" s="524"/>
      <c r="BM19" s="524"/>
      <c r="BN19" s="524"/>
      <c r="BO19" s="524"/>
      <c r="BP19" s="524"/>
      <c r="BQ19" s="524"/>
      <c r="BR19" s="524"/>
      <c r="BS19" s="524"/>
      <c r="BT19" s="524"/>
      <c r="BU19" s="524"/>
      <c r="BV19" s="524"/>
      <c r="BW19" s="524"/>
      <c r="BX19" s="524"/>
      <c r="BY19" s="524"/>
      <c r="BZ19" s="524"/>
      <c r="CA19" s="524"/>
      <c r="CB19" s="524"/>
      <c r="CC19" s="524"/>
      <c r="CD19" s="524"/>
      <c r="CE19" s="524"/>
      <c r="CF19" s="524"/>
      <c r="CG19" s="524"/>
      <c r="CH19" s="524"/>
      <c r="CI19" s="524"/>
      <c r="CJ19" s="524"/>
      <c r="CK19" s="524"/>
      <c r="CL19" s="524"/>
      <c r="CM19" s="524"/>
    </row>
    <row r="20" spans="1:91" s="140" customFormat="1" ht="15.75" customHeight="1">
      <c r="A20" s="265"/>
      <c r="B20" s="785" t="s">
        <v>95</v>
      </c>
      <c r="C20" s="785"/>
      <c r="D20" s="785"/>
      <c r="E20" s="785"/>
      <c r="F20" s="785"/>
      <c r="G20" s="266"/>
      <c r="H20" s="549"/>
      <c r="I20" s="550"/>
      <c r="J20" s="550"/>
      <c r="K20" s="550"/>
      <c r="L20" s="551"/>
      <c r="M20" s="551"/>
      <c r="N20" s="551"/>
      <c r="O20" s="551"/>
      <c r="P20" s="551"/>
      <c r="Q20" s="552"/>
      <c r="R20" s="552"/>
      <c r="S20" s="552"/>
      <c r="T20" s="552"/>
      <c r="U20" s="525"/>
      <c r="V20" s="525"/>
      <c r="W20" s="525"/>
      <c r="X20" s="525"/>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4"/>
      <c r="BE20" s="524"/>
      <c r="BF20" s="524"/>
      <c r="BG20" s="524"/>
      <c r="BH20" s="524"/>
      <c r="BI20" s="524"/>
      <c r="BJ20" s="524"/>
      <c r="BK20" s="524"/>
      <c r="BL20" s="524"/>
      <c r="BM20" s="524"/>
      <c r="BN20" s="524"/>
      <c r="BO20" s="524"/>
      <c r="BP20" s="524"/>
      <c r="BQ20" s="524"/>
      <c r="BR20" s="524"/>
      <c r="BS20" s="524"/>
      <c r="BT20" s="524"/>
      <c r="BU20" s="524"/>
      <c r="BV20" s="524"/>
      <c r="BW20" s="524"/>
      <c r="BX20" s="524"/>
      <c r="BY20" s="524"/>
      <c r="BZ20" s="524"/>
      <c r="CA20" s="524"/>
      <c r="CB20" s="524"/>
      <c r="CC20" s="524"/>
      <c r="CD20" s="524"/>
      <c r="CE20" s="524"/>
      <c r="CF20" s="524"/>
      <c r="CG20" s="524"/>
      <c r="CH20" s="524"/>
      <c r="CI20" s="524"/>
      <c r="CJ20" s="524"/>
      <c r="CK20" s="524"/>
      <c r="CL20" s="524"/>
      <c r="CM20" s="524"/>
    </row>
    <row r="21" spans="1:91" s="140" customFormat="1" ht="15.75" customHeight="1">
      <c r="A21" s="265"/>
      <c r="B21" s="786"/>
      <c r="C21" s="786"/>
      <c r="D21" s="786"/>
      <c r="E21" s="786"/>
      <c r="F21" s="786"/>
      <c r="G21" s="266"/>
      <c r="H21" s="553"/>
      <c r="I21" s="550"/>
      <c r="J21" s="550"/>
      <c r="K21" s="550"/>
      <c r="L21" s="551"/>
      <c r="M21" s="551"/>
      <c r="N21" s="551"/>
      <c r="O21" s="551"/>
      <c r="P21" s="551"/>
      <c r="Q21" s="552"/>
      <c r="R21" s="552"/>
      <c r="S21" s="552"/>
      <c r="T21" s="552"/>
      <c r="U21" s="525"/>
      <c r="V21" s="525"/>
      <c r="W21" s="525"/>
      <c r="X21" s="525"/>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4"/>
      <c r="BR21" s="524"/>
      <c r="BS21" s="524"/>
      <c r="BT21" s="524"/>
      <c r="BU21" s="524"/>
      <c r="BV21" s="524"/>
      <c r="BW21" s="524"/>
      <c r="BX21" s="524"/>
      <c r="BY21" s="524"/>
      <c r="BZ21" s="524"/>
      <c r="CA21" s="524"/>
      <c r="CB21" s="524"/>
      <c r="CC21" s="524"/>
      <c r="CD21" s="524"/>
      <c r="CE21" s="524"/>
      <c r="CF21" s="524"/>
      <c r="CG21" s="524"/>
      <c r="CH21" s="524"/>
      <c r="CI21" s="524"/>
      <c r="CJ21" s="524"/>
      <c r="CK21" s="524"/>
      <c r="CL21" s="524"/>
      <c r="CM21" s="524"/>
    </row>
    <row r="22" spans="1:91" s="140" customFormat="1" ht="15.75" customHeight="1">
      <c r="A22" s="265"/>
      <c r="B22" s="786"/>
      <c r="C22" s="786"/>
      <c r="D22" s="786"/>
      <c r="E22" s="786"/>
      <c r="F22" s="786"/>
      <c r="G22" s="266"/>
      <c r="H22" s="553"/>
      <c r="I22" s="550"/>
      <c r="J22" s="550"/>
      <c r="K22" s="550"/>
      <c r="L22" s="551"/>
      <c r="M22" s="551"/>
      <c r="N22" s="551"/>
      <c r="O22" s="551"/>
      <c r="P22" s="551"/>
      <c r="Q22" s="552"/>
      <c r="R22" s="552"/>
      <c r="S22" s="552"/>
      <c r="T22" s="552"/>
      <c r="U22" s="525"/>
      <c r="V22" s="525"/>
      <c r="W22" s="525"/>
      <c r="X22" s="525"/>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4"/>
      <c r="BT22" s="524"/>
      <c r="BU22" s="524"/>
      <c r="BV22" s="524"/>
      <c r="BW22" s="524"/>
      <c r="BX22" s="524"/>
      <c r="BY22" s="524"/>
      <c r="BZ22" s="524"/>
      <c r="CA22" s="524"/>
      <c r="CB22" s="524"/>
      <c r="CC22" s="524"/>
      <c r="CD22" s="524"/>
      <c r="CE22" s="524"/>
      <c r="CF22" s="524"/>
      <c r="CG22" s="524"/>
      <c r="CH22" s="524"/>
      <c r="CI22" s="524"/>
      <c r="CJ22" s="524"/>
      <c r="CK22" s="524"/>
      <c r="CL22" s="524"/>
      <c r="CM22" s="524"/>
    </row>
    <row r="23" spans="1:91" s="140" customFormat="1" ht="15.75" customHeight="1">
      <c r="A23" s="265"/>
      <c r="B23" s="786"/>
      <c r="C23" s="786"/>
      <c r="D23" s="786"/>
      <c r="E23" s="786"/>
      <c r="F23" s="786"/>
      <c r="G23" s="266"/>
      <c r="H23" s="553"/>
      <c r="I23" s="550"/>
      <c r="J23" s="550"/>
      <c r="K23" s="550"/>
      <c r="L23" s="551"/>
      <c r="M23" s="551"/>
      <c r="N23" s="551"/>
      <c r="O23" s="551"/>
      <c r="P23" s="551"/>
      <c r="Q23" s="552"/>
      <c r="R23" s="552"/>
      <c r="S23" s="552"/>
      <c r="T23" s="552"/>
      <c r="U23" s="525"/>
      <c r="V23" s="525"/>
      <c r="W23" s="525"/>
      <c r="X23" s="525"/>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4"/>
      <c r="AU23" s="524"/>
      <c r="AV23" s="524"/>
      <c r="AW23" s="524"/>
      <c r="AX23" s="524"/>
      <c r="AY23" s="524"/>
      <c r="AZ23" s="524"/>
      <c r="BA23" s="524"/>
      <c r="BB23" s="524"/>
      <c r="BC23" s="524"/>
      <c r="BD23" s="524"/>
      <c r="BE23" s="524"/>
      <c r="BF23" s="524"/>
      <c r="BG23" s="524"/>
      <c r="BH23" s="524"/>
      <c r="BI23" s="524"/>
      <c r="BJ23" s="524"/>
      <c r="BK23" s="524"/>
      <c r="BL23" s="524"/>
      <c r="BM23" s="524"/>
      <c r="BN23" s="524"/>
      <c r="BO23" s="524"/>
      <c r="BP23" s="524"/>
      <c r="BQ23" s="524"/>
      <c r="BR23" s="524"/>
      <c r="BS23" s="524"/>
      <c r="BT23" s="524"/>
      <c r="BU23" s="524"/>
      <c r="BV23" s="524"/>
      <c r="BW23" s="524"/>
      <c r="BX23" s="524"/>
      <c r="BY23" s="524"/>
      <c r="BZ23" s="524"/>
      <c r="CA23" s="524"/>
      <c r="CB23" s="524"/>
      <c r="CC23" s="524"/>
      <c r="CD23" s="524"/>
      <c r="CE23" s="524"/>
      <c r="CF23" s="524"/>
      <c r="CG23" s="524"/>
      <c r="CH23" s="524"/>
      <c r="CI23" s="524"/>
      <c r="CJ23" s="524"/>
      <c r="CK23" s="524"/>
      <c r="CL23" s="524"/>
      <c r="CM23" s="524"/>
    </row>
    <row r="24" spans="1:91" s="140" customFormat="1" ht="15.75" customHeight="1">
      <c r="A24" s="265"/>
      <c r="B24" s="786"/>
      <c r="C24" s="786"/>
      <c r="D24" s="786"/>
      <c r="E24" s="786"/>
      <c r="F24" s="786"/>
      <c r="G24" s="266"/>
      <c r="H24" s="553"/>
      <c r="I24" s="550"/>
      <c r="J24" s="550"/>
      <c r="K24" s="550"/>
      <c r="L24" s="551"/>
      <c r="M24" s="551"/>
      <c r="N24" s="551"/>
      <c r="O24" s="551"/>
      <c r="P24" s="551"/>
      <c r="Q24" s="552"/>
      <c r="R24" s="552"/>
      <c r="S24" s="552"/>
      <c r="T24" s="552"/>
      <c r="U24" s="525"/>
      <c r="V24" s="525"/>
      <c r="W24" s="525"/>
      <c r="X24" s="525"/>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4"/>
      <c r="AY24" s="524"/>
      <c r="AZ24" s="524"/>
      <c r="BA24" s="524"/>
      <c r="BB24" s="524"/>
      <c r="BC24" s="524"/>
      <c r="BD24" s="524"/>
      <c r="BE24" s="524"/>
      <c r="BF24" s="524"/>
      <c r="BG24" s="524"/>
      <c r="BH24" s="524"/>
      <c r="BI24" s="524"/>
      <c r="BJ24" s="524"/>
      <c r="BK24" s="524"/>
      <c r="BL24" s="524"/>
      <c r="BM24" s="524"/>
      <c r="BN24" s="524"/>
      <c r="BO24" s="524"/>
      <c r="BP24" s="524"/>
      <c r="BQ24" s="524"/>
      <c r="BR24" s="524"/>
      <c r="BS24" s="524"/>
      <c r="BT24" s="524"/>
      <c r="BU24" s="524"/>
      <c r="BV24" s="524"/>
      <c r="BW24" s="524"/>
      <c r="BX24" s="524"/>
      <c r="BY24" s="524"/>
      <c r="BZ24" s="524"/>
      <c r="CA24" s="524"/>
      <c r="CB24" s="524"/>
      <c r="CC24" s="524"/>
      <c r="CD24" s="524"/>
      <c r="CE24" s="524"/>
      <c r="CF24" s="524"/>
      <c r="CG24" s="524"/>
      <c r="CH24" s="524"/>
      <c r="CI24" s="524"/>
      <c r="CJ24" s="524"/>
      <c r="CK24" s="524"/>
      <c r="CL24" s="524"/>
      <c r="CM24" s="524"/>
    </row>
    <row r="25" spans="1:91" s="140" customFormat="1" ht="15.75" customHeight="1">
      <c r="A25" s="265"/>
      <c r="B25" s="786"/>
      <c r="C25" s="786"/>
      <c r="D25" s="786"/>
      <c r="E25" s="786"/>
      <c r="F25" s="786"/>
      <c r="G25" s="266"/>
      <c r="H25" s="553"/>
      <c r="I25" s="550"/>
      <c r="J25" s="550"/>
      <c r="K25" s="550"/>
      <c r="L25" s="551"/>
      <c r="M25" s="551"/>
      <c r="N25" s="551"/>
      <c r="O25" s="551"/>
      <c r="P25" s="551"/>
      <c r="Q25" s="552"/>
      <c r="R25" s="552"/>
      <c r="S25" s="552"/>
      <c r="T25" s="552"/>
      <c r="U25" s="525"/>
      <c r="V25" s="525"/>
      <c r="W25" s="525"/>
      <c r="X25" s="525"/>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524"/>
      <c r="BA25" s="524"/>
      <c r="BB25" s="524"/>
      <c r="BC25" s="524"/>
      <c r="BD25" s="524"/>
      <c r="BE25" s="524"/>
      <c r="BF25" s="524"/>
      <c r="BG25" s="524"/>
      <c r="BH25" s="524"/>
      <c r="BI25" s="524"/>
      <c r="BJ25" s="524"/>
      <c r="BK25" s="524"/>
      <c r="BL25" s="524"/>
      <c r="BM25" s="524"/>
      <c r="BN25" s="524"/>
      <c r="BO25" s="524"/>
      <c r="BP25" s="524"/>
      <c r="BQ25" s="524"/>
      <c r="BR25" s="524"/>
      <c r="BS25" s="524"/>
      <c r="BT25" s="524"/>
      <c r="BU25" s="524"/>
      <c r="BV25" s="524"/>
      <c r="BW25" s="524"/>
      <c r="BX25" s="524"/>
      <c r="BY25" s="524"/>
      <c r="BZ25" s="524"/>
      <c r="CA25" s="524"/>
      <c r="CB25" s="524"/>
      <c r="CC25" s="524"/>
      <c r="CD25" s="524"/>
      <c r="CE25" s="524"/>
      <c r="CF25" s="524"/>
      <c r="CG25" s="524"/>
      <c r="CH25" s="524"/>
      <c r="CI25" s="524"/>
      <c r="CJ25" s="524"/>
      <c r="CK25" s="524"/>
      <c r="CL25" s="524"/>
      <c r="CM25" s="524"/>
    </row>
    <row r="26" spans="1:91" s="140" customFormat="1" ht="15.75" customHeight="1">
      <c r="A26" s="265"/>
      <c r="B26" s="786"/>
      <c r="C26" s="786"/>
      <c r="D26" s="786"/>
      <c r="E26" s="786"/>
      <c r="F26" s="786"/>
      <c r="G26" s="266"/>
      <c r="H26" s="553"/>
      <c r="I26" s="550"/>
      <c r="J26" s="550"/>
      <c r="K26" s="550"/>
      <c r="L26" s="551"/>
      <c r="M26" s="551"/>
      <c r="N26" s="551"/>
      <c r="O26" s="551"/>
      <c r="P26" s="551"/>
      <c r="Q26" s="552"/>
      <c r="R26" s="552"/>
      <c r="S26" s="552"/>
      <c r="T26" s="552"/>
      <c r="U26" s="525"/>
      <c r="V26" s="525"/>
      <c r="W26" s="525"/>
      <c r="X26" s="525"/>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c r="BE26" s="524"/>
      <c r="BF26" s="524"/>
      <c r="BG26" s="524"/>
      <c r="BH26" s="524"/>
      <c r="BI26" s="524"/>
      <c r="BJ26" s="524"/>
      <c r="BK26" s="524"/>
      <c r="BL26" s="524"/>
      <c r="BM26" s="524"/>
      <c r="BN26" s="524"/>
      <c r="BO26" s="524"/>
      <c r="BP26" s="524"/>
      <c r="BQ26" s="524"/>
      <c r="BR26" s="524"/>
      <c r="BS26" s="524"/>
      <c r="BT26" s="524"/>
      <c r="BU26" s="524"/>
      <c r="BV26" s="524"/>
      <c r="BW26" s="524"/>
      <c r="BX26" s="524"/>
      <c r="BY26" s="524"/>
      <c r="BZ26" s="524"/>
      <c r="CA26" s="524"/>
      <c r="CB26" s="524"/>
      <c r="CC26" s="524"/>
      <c r="CD26" s="524"/>
      <c r="CE26" s="524"/>
      <c r="CF26" s="524"/>
      <c r="CG26" s="524"/>
      <c r="CH26" s="524"/>
      <c r="CI26" s="524"/>
      <c r="CJ26" s="524"/>
      <c r="CK26" s="524"/>
      <c r="CL26" s="524"/>
      <c r="CM26" s="524"/>
    </row>
    <row r="27" spans="1:91" s="140" customFormat="1" ht="15.75" customHeight="1">
      <c r="A27" s="265"/>
      <c r="B27" s="786"/>
      <c r="C27" s="786"/>
      <c r="D27" s="786"/>
      <c r="E27" s="786"/>
      <c r="F27" s="786"/>
      <c r="G27" s="266"/>
      <c r="H27" s="553"/>
      <c r="I27" s="550"/>
      <c r="J27" s="550"/>
      <c r="K27" s="550"/>
      <c r="L27" s="551"/>
      <c r="M27" s="551"/>
      <c r="N27" s="551"/>
      <c r="O27" s="551"/>
      <c r="P27" s="551"/>
      <c r="Q27" s="552"/>
      <c r="R27" s="552"/>
      <c r="S27" s="552"/>
      <c r="T27" s="552"/>
      <c r="U27" s="525"/>
      <c r="V27" s="525"/>
      <c r="W27" s="525"/>
      <c r="X27" s="525"/>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524"/>
      <c r="BF27" s="524"/>
      <c r="BG27" s="524"/>
      <c r="BH27" s="524"/>
      <c r="BI27" s="524"/>
      <c r="BJ27" s="524"/>
      <c r="BK27" s="524"/>
      <c r="BL27" s="524"/>
      <c r="BM27" s="524"/>
      <c r="BN27" s="524"/>
      <c r="BO27" s="524"/>
      <c r="BP27" s="524"/>
      <c r="BQ27" s="524"/>
      <c r="BR27" s="524"/>
      <c r="BS27" s="524"/>
      <c r="BT27" s="524"/>
      <c r="BU27" s="524"/>
      <c r="BV27" s="524"/>
      <c r="BW27" s="524"/>
      <c r="BX27" s="524"/>
      <c r="BY27" s="524"/>
      <c r="BZ27" s="524"/>
      <c r="CA27" s="524"/>
      <c r="CB27" s="524"/>
      <c r="CC27" s="524"/>
      <c r="CD27" s="524"/>
      <c r="CE27" s="524"/>
      <c r="CF27" s="524"/>
      <c r="CG27" s="524"/>
      <c r="CH27" s="524"/>
      <c r="CI27" s="524"/>
      <c r="CJ27" s="524"/>
      <c r="CK27" s="524"/>
      <c r="CL27" s="524"/>
      <c r="CM27" s="524"/>
    </row>
    <row r="28" spans="1:91" s="140" customFormat="1" ht="15.75" customHeight="1">
      <c r="A28" s="265"/>
      <c r="B28" s="786"/>
      <c r="C28" s="786"/>
      <c r="D28" s="786"/>
      <c r="E28" s="786"/>
      <c r="F28" s="786"/>
      <c r="G28" s="266"/>
      <c r="H28" s="549"/>
      <c r="I28" s="550"/>
      <c r="J28" s="550"/>
      <c r="K28" s="550"/>
      <c r="L28" s="551"/>
      <c r="M28" s="551"/>
      <c r="N28" s="551"/>
      <c r="O28" s="551"/>
      <c r="P28" s="551"/>
      <c r="Q28" s="552"/>
      <c r="R28" s="552"/>
      <c r="S28" s="552"/>
      <c r="T28" s="552"/>
      <c r="U28" s="525"/>
      <c r="V28" s="525"/>
      <c r="W28" s="525"/>
      <c r="X28" s="525"/>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c r="BL28" s="524"/>
      <c r="BM28" s="524"/>
      <c r="BN28" s="524"/>
      <c r="BO28" s="524"/>
      <c r="BP28" s="524"/>
      <c r="BQ28" s="524"/>
      <c r="BR28" s="524"/>
      <c r="BS28" s="524"/>
      <c r="BT28" s="524"/>
      <c r="BU28" s="524"/>
      <c r="BV28" s="524"/>
      <c r="BW28" s="524"/>
      <c r="BX28" s="524"/>
      <c r="BY28" s="524"/>
      <c r="BZ28" s="524"/>
      <c r="CA28" s="524"/>
      <c r="CB28" s="524"/>
      <c r="CC28" s="524"/>
      <c r="CD28" s="524"/>
      <c r="CE28" s="524"/>
      <c r="CF28" s="524"/>
      <c r="CG28" s="524"/>
      <c r="CH28" s="524"/>
      <c r="CI28" s="524"/>
      <c r="CJ28" s="524"/>
      <c r="CK28" s="524"/>
      <c r="CL28" s="524"/>
      <c r="CM28" s="524"/>
    </row>
    <row r="29" spans="1:91" s="140" customFormat="1" ht="15.75" customHeight="1">
      <c r="A29" s="265"/>
      <c r="B29" s="786"/>
      <c r="C29" s="786"/>
      <c r="D29" s="786"/>
      <c r="E29" s="786"/>
      <c r="F29" s="786"/>
      <c r="G29" s="266"/>
      <c r="H29" s="549"/>
      <c r="I29" s="550"/>
      <c r="J29" s="550"/>
      <c r="K29" s="550"/>
      <c r="L29" s="551"/>
      <c r="M29" s="551"/>
      <c r="N29" s="551"/>
      <c r="O29" s="551"/>
      <c r="P29" s="551"/>
      <c r="Q29" s="552"/>
      <c r="R29" s="552"/>
      <c r="S29" s="552"/>
      <c r="T29" s="552"/>
      <c r="U29" s="525"/>
      <c r="V29" s="525"/>
      <c r="W29" s="525"/>
      <c r="X29" s="525"/>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4"/>
      <c r="BD29" s="524"/>
      <c r="BE29" s="524"/>
      <c r="BF29" s="524"/>
      <c r="BG29" s="524"/>
      <c r="BH29" s="524"/>
      <c r="BI29" s="524"/>
      <c r="BJ29" s="524"/>
      <c r="BK29" s="524"/>
      <c r="BL29" s="524"/>
      <c r="BM29" s="524"/>
      <c r="BN29" s="524"/>
      <c r="BO29" s="524"/>
      <c r="BP29" s="524"/>
      <c r="BQ29" s="524"/>
      <c r="BR29" s="524"/>
      <c r="BS29" s="524"/>
      <c r="BT29" s="524"/>
      <c r="BU29" s="524"/>
      <c r="BV29" s="524"/>
      <c r="BW29" s="524"/>
      <c r="BX29" s="524"/>
      <c r="BY29" s="524"/>
      <c r="BZ29" s="524"/>
      <c r="CA29" s="524"/>
      <c r="CB29" s="524"/>
      <c r="CC29" s="524"/>
      <c r="CD29" s="524"/>
      <c r="CE29" s="524"/>
      <c r="CF29" s="524"/>
      <c r="CG29" s="524"/>
      <c r="CH29" s="524"/>
      <c r="CI29" s="524"/>
      <c r="CJ29" s="524"/>
      <c r="CK29" s="524"/>
      <c r="CL29" s="524"/>
      <c r="CM29" s="524"/>
    </row>
    <row r="30" spans="1:91" s="140" customFormat="1" ht="15.75" customHeight="1">
      <c r="A30" s="265"/>
      <c r="B30" s="786"/>
      <c r="C30" s="786"/>
      <c r="D30" s="786"/>
      <c r="E30" s="786"/>
      <c r="F30" s="786"/>
      <c r="G30" s="266"/>
      <c r="H30" s="549"/>
      <c r="I30" s="550"/>
      <c r="J30" s="550"/>
      <c r="K30" s="550"/>
      <c r="L30" s="551"/>
      <c r="M30" s="551"/>
      <c r="N30" s="551"/>
      <c r="O30" s="551"/>
      <c r="P30" s="551"/>
      <c r="Q30" s="552"/>
      <c r="R30" s="552"/>
      <c r="S30" s="552"/>
      <c r="T30" s="552"/>
      <c r="U30" s="525"/>
      <c r="V30" s="525"/>
      <c r="W30" s="525"/>
      <c r="X30" s="525"/>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4"/>
      <c r="AY30" s="524"/>
      <c r="AZ30" s="524"/>
      <c r="BA30" s="524"/>
      <c r="BB30" s="524"/>
      <c r="BC30" s="524"/>
      <c r="BD30" s="524"/>
      <c r="BE30" s="52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4"/>
      <c r="CC30" s="524"/>
      <c r="CD30" s="524"/>
      <c r="CE30" s="524"/>
      <c r="CF30" s="524"/>
      <c r="CG30" s="524"/>
      <c r="CH30" s="524"/>
      <c r="CI30" s="524"/>
      <c r="CJ30" s="524"/>
      <c r="CK30" s="524"/>
      <c r="CL30" s="524"/>
      <c r="CM30" s="524"/>
    </row>
    <row r="31" spans="1:91" s="140" customFormat="1" ht="16.5" thickBot="1">
      <c r="A31" s="267"/>
      <c r="B31" s="268"/>
      <c r="C31" s="269"/>
      <c r="D31" s="269"/>
      <c r="E31" s="269"/>
      <c r="F31" s="269"/>
      <c r="G31" s="270"/>
      <c r="H31" s="549"/>
      <c r="I31" s="550"/>
      <c r="J31" s="550"/>
      <c r="K31" s="550"/>
      <c r="L31" s="551"/>
      <c r="M31" s="551"/>
      <c r="N31" s="551"/>
      <c r="O31" s="551"/>
      <c r="P31" s="551"/>
      <c r="Q31" s="552"/>
      <c r="R31" s="552"/>
      <c r="S31" s="552"/>
      <c r="T31" s="552"/>
      <c r="U31" s="525"/>
      <c r="V31" s="525"/>
      <c r="W31" s="525"/>
      <c r="X31" s="525"/>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4"/>
      <c r="AY31" s="524"/>
      <c r="AZ31" s="524"/>
      <c r="BA31" s="524"/>
      <c r="BB31" s="524"/>
      <c r="BC31" s="524"/>
      <c r="BD31" s="524"/>
      <c r="BE31" s="524"/>
      <c r="BF31" s="524"/>
      <c r="BG31" s="524"/>
      <c r="BH31" s="524"/>
      <c r="BI31" s="524"/>
      <c r="BJ31" s="524"/>
      <c r="BK31" s="524"/>
      <c r="BL31" s="524"/>
      <c r="BM31" s="524"/>
      <c r="BN31" s="524"/>
      <c r="BO31" s="524"/>
      <c r="BP31" s="524"/>
      <c r="BQ31" s="524"/>
      <c r="BR31" s="524"/>
      <c r="BS31" s="524"/>
      <c r="BT31" s="524"/>
      <c r="BU31" s="524"/>
      <c r="BV31" s="524"/>
      <c r="BW31" s="524"/>
      <c r="BX31" s="524"/>
      <c r="BY31" s="524"/>
      <c r="BZ31" s="524"/>
      <c r="CA31" s="524"/>
      <c r="CB31" s="524"/>
      <c r="CC31" s="524"/>
      <c r="CD31" s="524"/>
      <c r="CE31" s="524"/>
      <c r="CF31" s="524"/>
      <c r="CG31" s="524"/>
      <c r="CH31" s="524"/>
      <c r="CI31" s="524"/>
      <c r="CJ31" s="524"/>
      <c r="CK31" s="524"/>
      <c r="CL31" s="524"/>
      <c r="CM31" s="524"/>
    </row>
    <row r="32" spans="1:24" ht="12.75">
      <c r="A32" s="245"/>
      <c r="B32" s="189"/>
      <c r="C32" s="189"/>
      <c r="D32" s="189"/>
      <c r="E32" s="189"/>
      <c r="F32" s="189"/>
      <c r="G32" s="187"/>
      <c r="I32" s="554"/>
      <c r="J32" s="554"/>
      <c r="K32" s="554"/>
      <c r="Q32" s="488"/>
      <c r="R32" s="488"/>
      <c r="S32" s="488"/>
      <c r="T32" s="488"/>
      <c r="U32" s="184"/>
      <c r="V32" s="184"/>
      <c r="W32" s="184"/>
      <c r="X32" s="184"/>
    </row>
    <row r="33" spans="1:24" ht="12.75">
      <c r="A33" s="188"/>
      <c r="B33" s="767" t="s">
        <v>6</v>
      </c>
      <c r="C33" s="768"/>
      <c r="D33" s="768"/>
      <c r="E33" s="768"/>
      <c r="F33" s="768"/>
      <c r="G33" s="190"/>
      <c r="I33" s="554"/>
      <c r="J33" s="554"/>
      <c r="K33" s="554"/>
      <c r="Q33" s="488"/>
      <c r="R33" s="488"/>
      <c r="S33" s="488"/>
      <c r="T33" s="488"/>
      <c r="U33" s="184"/>
      <c r="V33" s="184"/>
      <c r="W33" s="184"/>
      <c r="X33" s="184"/>
    </row>
    <row r="34" spans="1:24" ht="12.75">
      <c r="A34" s="188"/>
      <c r="B34" s="767"/>
      <c r="C34" s="768"/>
      <c r="D34" s="768"/>
      <c r="E34" s="768"/>
      <c r="F34" s="768"/>
      <c r="G34" s="190"/>
      <c r="I34" s="554"/>
      <c r="J34" s="554"/>
      <c r="K34" s="554"/>
      <c r="Q34" s="488"/>
      <c r="R34" s="488"/>
      <c r="S34" s="488"/>
      <c r="T34" s="488"/>
      <c r="U34" s="184"/>
      <c r="V34" s="184"/>
      <c r="W34" s="184"/>
      <c r="X34" s="184"/>
    </row>
    <row r="35" spans="1:24" ht="12.75">
      <c r="A35" s="188"/>
      <c r="B35" s="768"/>
      <c r="C35" s="768"/>
      <c r="D35" s="768"/>
      <c r="E35" s="768"/>
      <c r="F35" s="768"/>
      <c r="G35" s="190"/>
      <c r="I35" s="554"/>
      <c r="J35" s="554"/>
      <c r="K35" s="554"/>
      <c r="Q35" s="488"/>
      <c r="R35" s="488"/>
      <c r="S35" s="488"/>
      <c r="T35" s="488"/>
      <c r="U35" s="184"/>
      <c r="V35" s="184"/>
      <c r="W35" s="184"/>
      <c r="X35" s="184"/>
    </row>
    <row r="36" spans="1:24" ht="15.75">
      <c r="A36" s="188"/>
      <c r="B36" s="202"/>
      <c r="C36" s="195"/>
      <c r="D36" s="195"/>
      <c r="E36" s="195"/>
      <c r="F36" s="195"/>
      <c r="G36" s="190"/>
      <c r="I36" s="554"/>
      <c r="J36" s="554"/>
      <c r="K36" s="554"/>
      <c r="Q36" s="488"/>
      <c r="R36" s="488"/>
      <c r="S36" s="488"/>
      <c r="T36" s="488"/>
      <c r="U36" s="184"/>
      <c r="V36" s="184"/>
      <c r="W36" s="184"/>
      <c r="X36" s="184"/>
    </row>
    <row r="37" spans="1:91" s="197" customFormat="1" ht="30" customHeight="1">
      <c r="A37" s="188"/>
      <c r="B37" s="787" t="s">
        <v>8</v>
      </c>
      <c r="C37" s="752"/>
      <c r="D37" s="752"/>
      <c r="E37" s="752"/>
      <c r="F37" s="752"/>
      <c r="G37" s="190"/>
      <c r="H37" s="555"/>
      <c r="I37" s="550"/>
      <c r="J37" s="550"/>
      <c r="K37" s="550"/>
      <c r="L37" s="551"/>
      <c r="M37" s="551"/>
      <c r="N37" s="551"/>
      <c r="O37" s="551"/>
      <c r="P37" s="551"/>
      <c r="Q37" s="552"/>
      <c r="R37" s="552"/>
      <c r="S37" s="552"/>
      <c r="T37" s="552"/>
      <c r="U37" s="527"/>
      <c r="V37" s="527"/>
      <c r="W37" s="527"/>
      <c r="X37" s="527"/>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26"/>
      <c r="BC37" s="526"/>
      <c r="BD37" s="526"/>
      <c r="BE37" s="526"/>
      <c r="BF37" s="526"/>
      <c r="BG37" s="526"/>
      <c r="BH37" s="526"/>
      <c r="BI37" s="526"/>
      <c r="BJ37" s="526"/>
      <c r="BK37" s="526"/>
      <c r="BL37" s="526"/>
      <c r="BM37" s="526"/>
      <c r="BN37" s="526"/>
      <c r="BO37" s="526"/>
      <c r="BP37" s="526"/>
      <c r="BQ37" s="526"/>
      <c r="BR37" s="526"/>
      <c r="BS37" s="526"/>
      <c r="BT37" s="526"/>
      <c r="BU37" s="526"/>
      <c r="BV37" s="526"/>
      <c r="BW37" s="526"/>
      <c r="BX37" s="526"/>
      <c r="BY37" s="526"/>
      <c r="BZ37" s="526"/>
      <c r="CA37" s="526"/>
      <c r="CB37" s="526"/>
      <c r="CC37" s="526"/>
      <c r="CD37" s="526"/>
      <c r="CE37" s="526"/>
      <c r="CF37" s="526"/>
      <c r="CG37" s="526"/>
      <c r="CH37" s="526"/>
      <c r="CI37" s="526"/>
      <c r="CJ37" s="526"/>
      <c r="CK37" s="526"/>
      <c r="CL37" s="526"/>
      <c r="CM37" s="526"/>
    </row>
    <row r="38" spans="1:91" s="197" customFormat="1" ht="15">
      <c r="A38" s="188"/>
      <c r="B38" s="249"/>
      <c r="C38" s="195"/>
      <c r="D38" s="195"/>
      <c r="E38" s="195"/>
      <c r="F38" s="195"/>
      <c r="G38" s="190"/>
      <c r="H38" s="555"/>
      <c r="I38" s="550"/>
      <c r="J38" s="550"/>
      <c r="K38" s="550"/>
      <c r="L38" s="551"/>
      <c r="M38" s="551"/>
      <c r="N38" s="551"/>
      <c r="O38" s="551"/>
      <c r="P38" s="551"/>
      <c r="Q38" s="552"/>
      <c r="R38" s="552"/>
      <c r="S38" s="552"/>
      <c r="T38" s="552"/>
      <c r="U38" s="527"/>
      <c r="V38" s="527"/>
      <c r="W38" s="527"/>
      <c r="X38" s="527"/>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526"/>
      <c r="AV38" s="526"/>
      <c r="AW38" s="526"/>
      <c r="AX38" s="526"/>
      <c r="AY38" s="526"/>
      <c r="AZ38" s="526"/>
      <c r="BA38" s="526"/>
      <c r="BB38" s="526"/>
      <c r="BC38" s="526"/>
      <c r="BD38" s="526"/>
      <c r="BE38" s="526"/>
      <c r="BF38" s="526"/>
      <c r="BG38" s="526"/>
      <c r="BH38" s="526"/>
      <c r="BI38" s="526"/>
      <c r="BJ38" s="526"/>
      <c r="BK38" s="526"/>
      <c r="BL38" s="526"/>
      <c r="BM38" s="526"/>
      <c r="BN38" s="526"/>
      <c r="BO38" s="526"/>
      <c r="BP38" s="526"/>
      <c r="BQ38" s="526"/>
      <c r="BR38" s="526"/>
      <c r="BS38" s="526"/>
      <c r="BT38" s="526"/>
      <c r="BU38" s="526"/>
      <c r="BV38" s="526"/>
      <c r="BW38" s="526"/>
      <c r="BX38" s="526"/>
      <c r="BY38" s="526"/>
      <c r="BZ38" s="526"/>
      <c r="CA38" s="526"/>
      <c r="CB38" s="526"/>
      <c r="CC38" s="526"/>
      <c r="CD38" s="526"/>
      <c r="CE38" s="526"/>
      <c r="CF38" s="526"/>
      <c r="CG38" s="526"/>
      <c r="CH38" s="526"/>
      <c r="CI38" s="526"/>
      <c r="CJ38" s="526"/>
      <c r="CK38" s="526"/>
      <c r="CL38" s="526"/>
      <c r="CM38" s="526"/>
    </row>
    <row r="39" spans="1:91" s="197" customFormat="1" ht="16.5" thickBot="1">
      <c r="A39" s="188"/>
      <c r="B39" s="202" t="s">
        <v>1020</v>
      </c>
      <c r="C39" s="199"/>
      <c r="D39" s="199"/>
      <c r="E39" s="199"/>
      <c r="F39" s="237"/>
      <c r="G39" s="190"/>
      <c r="H39" s="555"/>
      <c r="I39" s="550"/>
      <c r="J39" s="550"/>
      <c r="K39" s="550"/>
      <c r="L39" s="551"/>
      <c r="M39" s="551"/>
      <c r="N39" s="551"/>
      <c r="O39" s="551"/>
      <c r="P39" s="551"/>
      <c r="Q39" s="552"/>
      <c r="R39" s="552"/>
      <c r="S39" s="552"/>
      <c r="T39" s="552"/>
      <c r="U39" s="527"/>
      <c r="V39" s="527"/>
      <c r="W39" s="527"/>
      <c r="X39" s="527"/>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6"/>
      <c r="AY39" s="526"/>
      <c r="AZ39" s="526"/>
      <c r="BA39" s="526"/>
      <c r="BB39" s="526"/>
      <c r="BC39" s="526"/>
      <c r="BD39" s="526"/>
      <c r="BE39" s="526"/>
      <c r="BF39" s="526"/>
      <c r="BG39" s="526"/>
      <c r="BH39" s="526"/>
      <c r="BI39" s="526"/>
      <c r="BJ39" s="526"/>
      <c r="BK39" s="526"/>
      <c r="BL39" s="526"/>
      <c r="BM39" s="526"/>
      <c r="BN39" s="526"/>
      <c r="BO39" s="526"/>
      <c r="BP39" s="526"/>
      <c r="BQ39" s="526"/>
      <c r="BR39" s="526"/>
      <c r="BS39" s="526"/>
      <c r="BT39" s="526"/>
      <c r="BU39" s="526"/>
      <c r="BV39" s="526"/>
      <c r="BW39" s="526"/>
      <c r="BX39" s="526"/>
      <c r="BY39" s="526"/>
      <c r="BZ39" s="526"/>
      <c r="CA39" s="526"/>
      <c r="CB39" s="526"/>
      <c r="CC39" s="526"/>
      <c r="CD39" s="526"/>
      <c r="CE39" s="526"/>
      <c r="CF39" s="526"/>
      <c r="CG39" s="526"/>
      <c r="CH39" s="526"/>
      <c r="CI39" s="526"/>
      <c r="CJ39" s="526"/>
      <c r="CK39" s="526"/>
      <c r="CL39" s="526"/>
      <c r="CM39" s="526"/>
    </row>
    <row r="40" spans="1:91" s="197" customFormat="1" ht="21" thickBot="1">
      <c r="A40" s="188"/>
      <c r="B40" s="276" t="s">
        <v>876</v>
      </c>
      <c r="C40" s="738" t="s">
        <v>1012</v>
      </c>
      <c r="D40" s="738"/>
      <c r="E40" s="199"/>
      <c r="F40" s="200">
        <v>571</v>
      </c>
      <c r="G40" s="190"/>
      <c r="H40" s="555"/>
      <c r="I40" s="550"/>
      <c r="J40" s="550"/>
      <c r="K40" s="550"/>
      <c r="L40" s="551"/>
      <c r="M40" s="551"/>
      <c r="N40" s="551"/>
      <c r="O40" s="551"/>
      <c r="P40" s="551"/>
      <c r="Q40" s="552"/>
      <c r="R40" s="552"/>
      <c r="S40" s="552"/>
      <c r="T40" s="552"/>
      <c r="U40" s="527"/>
      <c r="V40" s="527"/>
      <c r="W40" s="527"/>
      <c r="X40" s="527"/>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526"/>
      <c r="AV40" s="526"/>
      <c r="AW40" s="526"/>
      <c r="AX40" s="526"/>
      <c r="AY40" s="526"/>
      <c r="AZ40" s="526"/>
      <c r="BA40" s="526"/>
      <c r="BB40" s="526"/>
      <c r="BC40" s="526"/>
      <c r="BD40" s="526"/>
      <c r="BE40" s="526"/>
      <c r="BF40" s="526"/>
      <c r="BG40" s="526"/>
      <c r="BH40" s="526"/>
      <c r="BI40" s="526"/>
      <c r="BJ40" s="526"/>
      <c r="BK40" s="526"/>
      <c r="BL40" s="526"/>
      <c r="BM40" s="526"/>
      <c r="BN40" s="526"/>
      <c r="BO40" s="526"/>
      <c r="BP40" s="526"/>
      <c r="BQ40" s="526"/>
      <c r="BR40" s="526"/>
      <c r="BS40" s="526"/>
      <c r="BT40" s="526"/>
      <c r="BU40" s="526"/>
      <c r="BV40" s="526"/>
      <c r="BW40" s="526"/>
      <c r="BX40" s="526"/>
      <c r="BY40" s="526"/>
      <c r="BZ40" s="526"/>
      <c r="CA40" s="526"/>
      <c r="CB40" s="526"/>
      <c r="CC40" s="526"/>
      <c r="CD40" s="526"/>
      <c r="CE40" s="526"/>
      <c r="CF40" s="526"/>
      <c r="CG40" s="526"/>
      <c r="CH40" s="526"/>
      <c r="CI40" s="526"/>
      <c r="CJ40" s="526"/>
      <c r="CK40" s="526"/>
      <c r="CL40" s="526"/>
      <c r="CM40" s="526"/>
    </row>
    <row r="41" spans="1:91" s="197" customFormat="1" ht="16.5" thickBot="1">
      <c r="A41" s="188"/>
      <c r="B41" s="276"/>
      <c r="C41" s="738"/>
      <c r="D41" s="738"/>
      <c r="E41" s="199"/>
      <c r="F41" s="238"/>
      <c r="G41" s="190"/>
      <c r="H41" s="555"/>
      <c r="I41" s="550"/>
      <c r="J41" s="550"/>
      <c r="K41" s="550"/>
      <c r="L41" s="551"/>
      <c r="M41" s="551"/>
      <c r="N41" s="551"/>
      <c r="O41" s="551"/>
      <c r="P41" s="551"/>
      <c r="Q41" s="552"/>
      <c r="R41" s="552"/>
      <c r="S41" s="552"/>
      <c r="T41" s="552"/>
      <c r="U41" s="527"/>
      <c r="V41" s="527"/>
      <c r="W41" s="527"/>
      <c r="X41" s="527"/>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c r="AW41" s="526"/>
      <c r="AX41" s="526"/>
      <c r="AY41" s="526"/>
      <c r="AZ41" s="526"/>
      <c r="BA41" s="526"/>
      <c r="BB41" s="526"/>
      <c r="BC41" s="526"/>
      <c r="BD41" s="526"/>
      <c r="BE41" s="526"/>
      <c r="BF41" s="526"/>
      <c r="BG41" s="526"/>
      <c r="BH41" s="526"/>
      <c r="BI41" s="526"/>
      <c r="BJ41" s="526"/>
      <c r="BK41" s="526"/>
      <c r="BL41" s="526"/>
      <c r="BM41" s="526"/>
      <c r="BN41" s="526"/>
      <c r="BO41" s="526"/>
      <c r="BP41" s="526"/>
      <c r="BQ41" s="526"/>
      <c r="BR41" s="526"/>
      <c r="BS41" s="526"/>
      <c r="BT41" s="526"/>
      <c r="BU41" s="526"/>
      <c r="BV41" s="526"/>
      <c r="BW41" s="526"/>
      <c r="BX41" s="526"/>
      <c r="BY41" s="526"/>
      <c r="BZ41" s="526"/>
      <c r="CA41" s="526"/>
      <c r="CB41" s="526"/>
      <c r="CC41" s="526"/>
      <c r="CD41" s="526"/>
      <c r="CE41" s="526"/>
      <c r="CF41" s="526"/>
      <c r="CG41" s="526"/>
      <c r="CH41" s="526"/>
      <c r="CI41" s="526"/>
      <c r="CJ41" s="526"/>
      <c r="CK41" s="526"/>
      <c r="CL41" s="526"/>
      <c r="CM41" s="526"/>
    </row>
    <row r="42" spans="1:91" s="197" customFormat="1" ht="21" thickBot="1">
      <c r="A42" s="188"/>
      <c r="B42" s="276" t="s">
        <v>877</v>
      </c>
      <c r="C42" s="199" t="s">
        <v>1021</v>
      </c>
      <c r="D42" s="199"/>
      <c r="E42" s="199"/>
      <c r="F42" s="200">
        <v>175</v>
      </c>
      <c r="G42" s="190"/>
      <c r="H42" s="555"/>
      <c r="I42" s="550"/>
      <c r="J42" s="550"/>
      <c r="K42" s="550"/>
      <c r="L42" s="551"/>
      <c r="M42" s="551"/>
      <c r="N42" s="551"/>
      <c r="O42" s="551"/>
      <c r="P42" s="551"/>
      <c r="Q42" s="552"/>
      <c r="R42" s="552"/>
      <c r="S42" s="552"/>
      <c r="T42" s="552"/>
      <c r="U42" s="527"/>
      <c r="V42" s="527"/>
      <c r="W42" s="527"/>
      <c r="X42" s="527"/>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6"/>
      <c r="AY42" s="526"/>
      <c r="AZ42" s="526"/>
      <c r="BA42" s="526"/>
      <c r="BB42" s="526"/>
      <c r="BC42" s="526"/>
      <c r="BD42" s="526"/>
      <c r="BE42" s="526"/>
      <c r="BF42" s="526"/>
      <c r="BG42" s="526"/>
      <c r="BH42" s="526"/>
      <c r="BI42" s="526"/>
      <c r="BJ42" s="526"/>
      <c r="BK42" s="526"/>
      <c r="BL42" s="526"/>
      <c r="BM42" s="526"/>
      <c r="BN42" s="526"/>
      <c r="BO42" s="526"/>
      <c r="BP42" s="526"/>
      <c r="BQ42" s="526"/>
      <c r="BR42" s="526"/>
      <c r="BS42" s="526"/>
      <c r="BT42" s="526"/>
      <c r="BU42" s="526"/>
      <c r="BV42" s="526"/>
      <c r="BW42" s="526"/>
      <c r="BX42" s="526"/>
      <c r="BY42" s="526"/>
      <c r="BZ42" s="526"/>
      <c r="CA42" s="526"/>
      <c r="CB42" s="526"/>
      <c r="CC42" s="526"/>
      <c r="CD42" s="526"/>
      <c r="CE42" s="526"/>
      <c r="CF42" s="526"/>
      <c r="CG42" s="526"/>
      <c r="CH42" s="526"/>
      <c r="CI42" s="526"/>
      <c r="CJ42" s="526"/>
      <c r="CK42" s="526"/>
      <c r="CL42" s="526"/>
      <c r="CM42" s="526"/>
    </row>
    <row r="43" spans="1:91" s="197" customFormat="1" ht="16.5" thickBot="1">
      <c r="A43" s="188"/>
      <c r="B43" s="276"/>
      <c r="C43" s="199"/>
      <c r="D43" s="199"/>
      <c r="E43" s="199"/>
      <c r="F43" s="239"/>
      <c r="G43" s="190"/>
      <c r="H43" s="555"/>
      <c r="I43" s="550"/>
      <c r="J43" s="550"/>
      <c r="K43" s="550"/>
      <c r="L43" s="551"/>
      <c r="M43" s="551"/>
      <c r="N43" s="551"/>
      <c r="O43" s="551"/>
      <c r="P43" s="551"/>
      <c r="Q43" s="552"/>
      <c r="R43" s="552"/>
      <c r="S43" s="552"/>
      <c r="T43" s="552"/>
      <c r="U43" s="527"/>
      <c r="V43" s="527"/>
      <c r="W43" s="527"/>
      <c r="X43" s="527"/>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6"/>
      <c r="BF43" s="526"/>
      <c r="BG43" s="526"/>
      <c r="BH43" s="526"/>
      <c r="BI43" s="526"/>
      <c r="BJ43" s="526"/>
      <c r="BK43" s="526"/>
      <c r="BL43" s="526"/>
      <c r="BM43" s="526"/>
      <c r="BN43" s="526"/>
      <c r="BO43" s="526"/>
      <c r="BP43" s="526"/>
      <c r="BQ43" s="526"/>
      <c r="BR43" s="526"/>
      <c r="BS43" s="526"/>
      <c r="BT43" s="526"/>
      <c r="BU43" s="526"/>
      <c r="BV43" s="526"/>
      <c r="BW43" s="526"/>
      <c r="BX43" s="526"/>
      <c r="BY43" s="526"/>
      <c r="BZ43" s="526"/>
      <c r="CA43" s="526"/>
      <c r="CB43" s="526"/>
      <c r="CC43" s="526"/>
      <c r="CD43" s="526"/>
      <c r="CE43" s="526"/>
      <c r="CF43" s="526"/>
      <c r="CG43" s="526"/>
      <c r="CH43" s="526"/>
      <c r="CI43" s="526"/>
      <c r="CJ43" s="526"/>
      <c r="CK43" s="526"/>
      <c r="CL43" s="526"/>
      <c r="CM43" s="526"/>
    </row>
    <row r="44" spans="1:91" s="197" customFormat="1" ht="21" thickBot="1">
      <c r="A44" s="188"/>
      <c r="B44" s="276" t="s">
        <v>878</v>
      </c>
      <c r="C44" s="199" t="s">
        <v>1022</v>
      </c>
      <c r="D44" s="199"/>
      <c r="E44" s="199"/>
      <c r="F44" s="200">
        <v>465</v>
      </c>
      <c r="G44" s="190"/>
      <c r="H44" s="555"/>
      <c r="I44" s="550"/>
      <c r="J44" s="550"/>
      <c r="K44" s="550"/>
      <c r="L44" s="551"/>
      <c r="M44" s="551"/>
      <c r="N44" s="551"/>
      <c r="O44" s="551"/>
      <c r="P44" s="551"/>
      <c r="Q44" s="552"/>
      <c r="R44" s="552"/>
      <c r="S44" s="552"/>
      <c r="T44" s="552"/>
      <c r="U44" s="527"/>
      <c r="V44" s="527"/>
      <c r="W44" s="527"/>
      <c r="X44" s="527"/>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6"/>
      <c r="BF44" s="526"/>
      <c r="BG44" s="526"/>
      <c r="BH44" s="526"/>
      <c r="BI44" s="526"/>
      <c r="BJ44" s="526"/>
      <c r="BK44" s="526"/>
      <c r="BL44" s="526"/>
      <c r="BM44" s="526"/>
      <c r="BN44" s="526"/>
      <c r="BO44" s="526"/>
      <c r="BP44" s="526"/>
      <c r="BQ44" s="526"/>
      <c r="BR44" s="526"/>
      <c r="BS44" s="526"/>
      <c r="BT44" s="526"/>
      <c r="BU44" s="526"/>
      <c r="BV44" s="526"/>
      <c r="BW44" s="526"/>
      <c r="BX44" s="526"/>
      <c r="BY44" s="526"/>
      <c r="BZ44" s="526"/>
      <c r="CA44" s="526"/>
      <c r="CB44" s="526"/>
      <c r="CC44" s="526"/>
      <c r="CD44" s="526"/>
      <c r="CE44" s="526"/>
      <c r="CF44" s="526"/>
      <c r="CG44" s="526"/>
      <c r="CH44" s="526"/>
      <c r="CI44" s="526"/>
      <c r="CJ44" s="526"/>
      <c r="CK44" s="526"/>
      <c r="CL44" s="526"/>
      <c r="CM44" s="526"/>
    </row>
    <row r="45" spans="1:91" s="197" customFormat="1" ht="16.5" thickBot="1">
      <c r="A45" s="188"/>
      <c r="B45" s="276"/>
      <c r="C45" s="199"/>
      <c r="D45" s="199"/>
      <c r="E45" s="199"/>
      <c r="F45" s="239"/>
      <c r="G45" s="190"/>
      <c r="H45" s="555"/>
      <c r="I45" s="550"/>
      <c r="J45" s="550"/>
      <c r="K45" s="550"/>
      <c r="L45" s="551"/>
      <c r="M45" s="551"/>
      <c r="N45" s="551"/>
      <c r="O45" s="551"/>
      <c r="P45" s="551"/>
      <c r="Q45" s="552"/>
      <c r="R45" s="552"/>
      <c r="S45" s="552"/>
      <c r="T45" s="552"/>
      <c r="U45" s="527"/>
      <c r="V45" s="527"/>
      <c r="W45" s="527"/>
      <c r="X45" s="527"/>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6"/>
      <c r="BF45" s="526"/>
      <c r="BG45" s="526"/>
      <c r="BH45" s="526"/>
      <c r="BI45" s="526"/>
      <c r="BJ45" s="526"/>
      <c r="BK45" s="526"/>
      <c r="BL45" s="526"/>
      <c r="BM45" s="526"/>
      <c r="BN45" s="526"/>
      <c r="BO45" s="526"/>
      <c r="BP45" s="526"/>
      <c r="BQ45" s="526"/>
      <c r="BR45" s="526"/>
      <c r="BS45" s="526"/>
      <c r="BT45" s="526"/>
      <c r="BU45" s="526"/>
      <c r="BV45" s="526"/>
      <c r="BW45" s="526"/>
      <c r="BX45" s="526"/>
      <c r="BY45" s="526"/>
      <c r="BZ45" s="526"/>
      <c r="CA45" s="526"/>
      <c r="CB45" s="526"/>
      <c r="CC45" s="526"/>
      <c r="CD45" s="526"/>
      <c r="CE45" s="526"/>
      <c r="CF45" s="526"/>
      <c r="CG45" s="526"/>
      <c r="CH45" s="526"/>
      <c r="CI45" s="526"/>
      <c r="CJ45" s="526"/>
      <c r="CK45" s="526"/>
      <c r="CL45" s="526"/>
      <c r="CM45" s="526"/>
    </row>
    <row r="46" spans="1:91" s="197" customFormat="1" ht="21" thickBot="1">
      <c r="A46" s="188"/>
      <c r="B46" s="276" t="s">
        <v>879</v>
      </c>
      <c r="C46" s="199" t="s">
        <v>1023</v>
      </c>
      <c r="D46" s="199"/>
      <c r="E46" s="199"/>
      <c r="F46" s="200">
        <v>3</v>
      </c>
      <c r="G46" s="190"/>
      <c r="H46" s="555"/>
      <c r="I46" s="550"/>
      <c r="J46" s="550"/>
      <c r="K46" s="550"/>
      <c r="L46" s="551"/>
      <c r="M46" s="551"/>
      <c r="N46" s="551"/>
      <c r="O46" s="551"/>
      <c r="P46" s="551"/>
      <c r="Q46" s="552"/>
      <c r="R46" s="552"/>
      <c r="S46" s="552"/>
      <c r="T46" s="552"/>
      <c r="U46" s="527"/>
      <c r="V46" s="527"/>
      <c r="W46" s="527"/>
      <c r="X46" s="527"/>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6"/>
      <c r="BF46" s="526"/>
      <c r="BG46" s="526"/>
      <c r="BH46" s="526"/>
      <c r="BI46" s="526"/>
      <c r="BJ46" s="526"/>
      <c r="BK46" s="526"/>
      <c r="BL46" s="526"/>
      <c r="BM46" s="526"/>
      <c r="BN46" s="526"/>
      <c r="BO46" s="526"/>
      <c r="BP46" s="526"/>
      <c r="BQ46" s="526"/>
      <c r="BR46" s="526"/>
      <c r="BS46" s="526"/>
      <c r="BT46" s="526"/>
      <c r="BU46" s="526"/>
      <c r="BV46" s="526"/>
      <c r="BW46" s="526"/>
      <c r="BX46" s="526"/>
      <c r="BY46" s="526"/>
      <c r="BZ46" s="526"/>
      <c r="CA46" s="526"/>
      <c r="CB46" s="526"/>
      <c r="CC46" s="526"/>
      <c r="CD46" s="526"/>
      <c r="CE46" s="526"/>
      <c r="CF46" s="526"/>
      <c r="CG46" s="526"/>
      <c r="CH46" s="526"/>
      <c r="CI46" s="526"/>
      <c r="CJ46" s="526"/>
      <c r="CK46" s="526"/>
      <c r="CL46" s="526"/>
      <c r="CM46" s="526"/>
    </row>
    <row r="47" spans="1:91" s="197" customFormat="1" ht="16.5" thickBot="1">
      <c r="A47" s="188"/>
      <c r="B47" s="276"/>
      <c r="C47" s="199"/>
      <c r="D47" s="199"/>
      <c r="E47" s="199"/>
      <c r="F47" s="239"/>
      <c r="G47" s="190"/>
      <c r="H47" s="555"/>
      <c r="I47" s="550"/>
      <c r="J47" s="550"/>
      <c r="K47" s="550"/>
      <c r="L47" s="551"/>
      <c r="M47" s="551"/>
      <c r="N47" s="551"/>
      <c r="O47" s="551"/>
      <c r="P47" s="551"/>
      <c r="Q47" s="552"/>
      <c r="R47" s="552"/>
      <c r="S47" s="552"/>
      <c r="T47" s="552"/>
      <c r="U47" s="527"/>
      <c r="V47" s="527"/>
      <c r="W47" s="527"/>
      <c r="X47" s="527"/>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6"/>
      <c r="BF47" s="526"/>
      <c r="BG47" s="526"/>
      <c r="BH47" s="526"/>
      <c r="BI47" s="526"/>
      <c r="BJ47" s="526"/>
      <c r="BK47" s="526"/>
      <c r="BL47" s="526"/>
      <c r="BM47" s="526"/>
      <c r="BN47" s="526"/>
      <c r="BO47" s="526"/>
      <c r="BP47" s="526"/>
      <c r="BQ47" s="526"/>
      <c r="BR47" s="526"/>
      <c r="BS47" s="526"/>
      <c r="BT47" s="526"/>
      <c r="BU47" s="526"/>
      <c r="BV47" s="526"/>
      <c r="BW47" s="526"/>
      <c r="BX47" s="526"/>
      <c r="BY47" s="526"/>
      <c r="BZ47" s="526"/>
      <c r="CA47" s="526"/>
      <c r="CB47" s="526"/>
      <c r="CC47" s="526"/>
      <c r="CD47" s="526"/>
      <c r="CE47" s="526"/>
      <c r="CF47" s="526"/>
      <c r="CG47" s="526"/>
      <c r="CH47" s="526"/>
      <c r="CI47" s="526"/>
      <c r="CJ47" s="526"/>
      <c r="CK47" s="526"/>
      <c r="CL47" s="526"/>
      <c r="CM47" s="526"/>
    </row>
    <row r="48" spans="1:91" s="197" customFormat="1" ht="21" thickBot="1">
      <c r="A48" s="188"/>
      <c r="B48" s="276" t="s">
        <v>880</v>
      </c>
      <c r="C48" s="738" t="s">
        <v>1013</v>
      </c>
      <c r="D48" s="672"/>
      <c r="E48" s="199"/>
      <c r="F48" s="200">
        <v>65</v>
      </c>
      <c r="G48" s="190"/>
      <c r="H48" s="555"/>
      <c r="I48" s="550"/>
      <c r="J48" s="550"/>
      <c r="K48" s="550"/>
      <c r="L48" s="551"/>
      <c r="M48" s="551"/>
      <c r="N48" s="551"/>
      <c r="O48" s="551"/>
      <c r="P48" s="551"/>
      <c r="Q48" s="552"/>
      <c r="R48" s="552"/>
      <c r="S48" s="552"/>
      <c r="T48" s="552"/>
      <c r="U48" s="527"/>
      <c r="V48" s="527"/>
      <c r="W48" s="527"/>
      <c r="X48" s="527"/>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6"/>
      <c r="BF48" s="526"/>
      <c r="BG48" s="526"/>
      <c r="BH48" s="526"/>
      <c r="BI48" s="526"/>
      <c r="BJ48" s="526"/>
      <c r="BK48" s="526"/>
      <c r="BL48" s="526"/>
      <c r="BM48" s="526"/>
      <c r="BN48" s="526"/>
      <c r="BO48" s="526"/>
      <c r="BP48" s="526"/>
      <c r="BQ48" s="526"/>
      <c r="BR48" s="526"/>
      <c r="BS48" s="526"/>
      <c r="BT48" s="526"/>
      <c r="BU48" s="526"/>
      <c r="BV48" s="526"/>
      <c r="BW48" s="526"/>
      <c r="BX48" s="526"/>
      <c r="BY48" s="526"/>
      <c r="BZ48" s="526"/>
      <c r="CA48" s="526"/>
      <c r="CB48" s="526"/>
      <c r="CC48" s="526"/>
      <c r="CD48" s="526"/>
      <c r="CE48" s="526"/>
      <c r="CF48" s="526"/>
      <c r="CG48" s="526"/>
      <c r="CH48" s="526"/>
      <c r="CI48" s="526"/>
      <c r="CJ48" s="526"/>
      <c r="CK48" s="526"/>
      <c r="CL48" s="526"/>
      <c r="CM48" s="526"/>
    </row>
    <row r="49" spans="1:91" s="197" customFormat="1" ht="16.5" thickBot="1">
      <c r="A49" s="188"/>
      <c r="B49" s="276"/>
      <c r="C49" s="672"/>
      <c r="D49" s="672"/>
      <c r="E49" s="199"/>
      <c r="F49" s="239"/>
      <c r="G49" s="190"/>
      <c r="H49" s="555"/>
      <c r="I49" s="550"/>
      <c r="J49" s="550"/>
      <c r="K49" s="550"/>
      <c r="L49" s="551"/>
      <c r="M49" s="551"/>
      <c r="N49" s="551"/>
      <c r="O49" s="551"/>
      <c r="P49" s="551"/>
      <c r="Q49" s="552"/>
      <c r="R49" s="552"/>
      <c r="S49" s="552"/>
      <c r="T49" s="552"/>
      <c r="U49" s="527"/>
      <c r="V49" s="527"/>
      <c r="W49" s="527"/>
      <c r="X49" s="527"/>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6"/>
      <c r="AZ49" s="526"/>
      <c r="BA49" s="526"/>
      <c r="BB49" s="526"/>
      <c r="BC49" s="526"/>
      <c r="BD49" s="526"/>
      <c r="BE49" s="526"/>
      <c r="BF49" s="526"/>
      <c r="BG49" s="526"/>
      <c r="BH49" s="526"/>
      <c r="BI49" s="526"/>
      <c r="BJ49" s="526"/>
      <c r="BK49" s="526"/>
      <c r="BL49" s="526"/>
      <c r="BM49" s="526"/>
      <c r="BN49" s="526"/>
      <c r="BO49" s="526"/>
      <c r="BP49" s="526"/>
      <c r="BQ49" s="526"/>
      <c r="BR49" s="526"/>
      <c r="BS49" s="526"/>
      <c r="BT49" s="526"/>
      <c r="BU49" s="526"/>
      <c r="BV49" s="526"/>
      <c r="BW49" s="526"/>
      <c r="BX49" s="526"/>
      <c r="BY49" s="526"/>
      <c r="BZ49" s="526"/>
      <c r="CA49" s="526"/>
      <c r="CB49" s="526"/>
      <c r="CC49" s="526"/>
      <c r="CD49" s="526"/>
      <c r="CE49" s="526"/>
      <c r="CF49" s="526"/>
      <c r="CG49" s="526"/>
      <c r="CH49" s="526"/>
      <c r="CI49" s="526"/>
      <c r="CJ49" s="526"/>
      <c r="CK49" s="526"/>
      <c r="CL49" s="526"/>
      <c r="CM49" s="526"/>
    </row>
    <row r="50" spans="1:91" s="197" customFormat="1" ht="21" thickBot="1">
      <c r="A50" s="188"/>
      <c r="B50" s="276" t="s">
        <v>881</v>
      </c>
      <c r="C50" s="199" t="s">
        <v>1024</v>
      </c>
      <c r="D50" s="199"/>
      <c r="E50" s="199"/>
      <c r="F50" s="200">
        <v>254</v>
      </c>
      <c r="G50" s="190"/>
      <c r="H50" s="555"/>
      <c r="I50" s="550"/>
      <c r="J50" s="550"/>
      <c r="K50" s="550"/>
      <c r="L50" s="551"/>
      <c r="M50" s="551"/>
      <c r="N50" s="551"/>
      <c r="O50" s="551"/>
      <c r="P50" s="551"/>
      <c r="Q50" s="552"/>
      <c r="R50" s="552"/>
      <c r="S50" s="552"/>
      <c r="T50" s="552"/>
      <c r="U50" s="527"/>
      <c r="V50" s="527"/>
      <c r="W50" s="527"/>
      <c r="X50" s="527"/>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c r="BC50" s="526"/>
      <c r="BD50" s="526"/>
      <c r="BE50" s="526"/>
      <c r="BF50" s="526"/>
      <c r="BG50" s="526"/>
      <c r="BH50" s="526"/>
      <c r="BI50" s="526"/>
      <c r="BJ50" s="526"/>
      <c r="BK50" s="526"/>
      <c r="BL50" s="526"/>
      <c r="BM50" s="526"/>
      <c r="BN50" s="526"/>
      <c r="BO50" s="526"/>
      <c r="BP50" s="526"/>
      <c r="BQ50" s="526"/>
      <c r="BR50" s="526"/>
      <c r="BS50" s="526"/>
      <c r="BT50" s="526"/>
      <c r="BU50" s="526"/>
      <c r="BV50" s="526"/>
      <c r="BW50" s="526"/>
      <c r="BX50" s="526"/>
      <c r="BY50" s="526"/>
      <c r="BZ50" s="526"/>
      <c r="CA50" s="526"/>
      <c r="CB50" s="526"/>
      <c r="CC50" s="526"/>
      <c r="CD50" s="526"/>
      <c r="CE50" s="526"/>
      <c r="CF50" s="526"/>
      <c r="CG50" s="526"/>
      <c r="CH50" s="526"/>
      <c r="CI50" s="526"/>
      <c r="CJ50" s="526"/>
      <c r="CK50" s="526"/>
      <c r="CL50" s="526"/>
      <c r="CM50" s="526"/>
    </row>
    <row r="51" spans="1:91" s="197" customFormat="1" ht="16.5" thickBot="1">
      <c r="A51" s="188"/>
      <c r="B51" s="276"/>
      <c r="C51" s="199"/>
      <c r="D51" s="199"/>
      <c r="E51" s="199"/>
      <c r="F51" s="239"/>
      <c r="G51" s="190"/>
      <c r="H51" s="555"/>
      <c r="I51" s="550"/>
      <c r="J51" s="550"/>
      <c r="K51" s="550"/>
      <c r="L51" s="551"/>
      <c r="M51" s="551"/>
      <c r="N51" s="551"/>
      <c r="O51" s="551"/>
      <c r="P51" s="551"/>
      <c r="Q51" s="552"/>
      <c r="R51" s="552"/>
      <c r="S51" s="552"/>
      <c r="T51" s="552"/>
      <c r="U51" s="527"/>
      <c r="V51" s="527"/>
      <c r="W51" s="527"/>
      <c r="X51" s="527"/>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526"/>
      <c r="AU51" s="526"/>
      <c r="AV51" s="526"/>
      <c r="AW51" s="526"/>
      <c r="AX51" s="526"/>
      <c r="AY51" s="526"/>
      <c r="AZ51" s="526"/>
      <c r="BA51" s="526"/>
      <c r="BB51" s="526"/>
      <c r="BC51" s="526"/>
      <c r="BD51" s="526"/>
      <c r="BE51" s="526"/>
      <c r="BF51" s="526"/>
      <c r="BG51" s="526"/>
      <c r="BH51" s="526"/>
      <c r="BI51" s="526"/>
      <c r="BJ51" s="526"/>
      <c r="BK51" s="526"/>
      <c r="BL51" s="526"/>
      <c r="BM51" s="526"/>
      <c r="BN51" s="526"/>
      <c r="BO51" s="526"/>
      <c r="BP51" s="526"/>
      <c r="BQ51" s="526"/>
      <c r="BR51" s="526"/>
      <c r="BS51" s="526"/>
      <c r="BT51" s="526"/>
      <c r="BU51" s="526"/>
      <c r="BV51" s="526"/>
      <c r="BW51" s="526"/>
      <c r="BX51" s="526"/>
      <c r="BY51" s="526"/>
      <c r="BZ51" s="526"/>
      <c r="CA51" s="526"/>
      <c r="CB51" s="526"/>
      <c r="CC51" s="526"/>
      <c r="CD51" s="526"/>
      <c r="CE51" s="526"/>
      <c r="CF51" s="526"/>
      <c r="CG51" s="526"/>
      <c r="CH51" s="526"/>
      <c r="CI51" s="526"/>
      <c r="CJ51" s="526"/>
      <c r="CK51" s="526"/>
      <c r="CL51" s="526"/>
      <c r="CM51" s="526"/>
    </row>
    <row r="52" spans="1:91" s="197" customFormat="1" ht="21" thickBot="1">
      <c r="A52" s="188"/>
      <c r="B52" s="276" t="s">
        <v>882</v>
      </c>
      <c r="C52" s="199" t="s">
        <v>1025</v>
      </c>
      <c r="D52" s="199"/>
      <c r="E52" s="199"/>
      <c r="F52" s="200">
        <v>2</v>
      </c>
      <c r="G52" s="190"/>
      <c r="H52" s="555"/>
      <c r="I52" s="550"/>
      <c r="J52" s="550"/>
      <c r="K52" s="550"/>
      <c r="L52" s="551"/>
      <c r="M52" s="551"/>
      <c r="N52" s="551"/>
      <c r="O52" s="551"/>
      <c r="P52" s="551"/>
      <c r="Q52" s="552"/>
      <c r="R52" s="552"/>
      <c r="S52" s="552"/>
      <c r="T52" s="552"/>
      <c r="U52" s="527"/>
      <c r="V52" s="527"/>
      <c r="W52" s="527"/>
      <c r="X52" s="527"/>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c r="BD52" s="526"/>
      <c r="BE52" s="526"/>
      <c r="BF52" s="526"/>
      <c r="BG52" s="526"/>
      <c r="BH52" s="526"/>
      <c r="BI52" s="526"/>
      <c r="BJ52" s="526"/>
      <c r="BK52" s="526"/>
      <c r="BL52" s="526"/>
      <c r="BM52" s="526"/>
      <c r="BN52" s="526"/>
      <c r="BO52" s="526"/>
      <c r="BP52" s="526"/>
      <c r="BQ52" s="526"/>
      <c r="BR52" s="526"/>
      <c r="BS52" s="526"/>
      <c r="BT52" s="526"/>
      <c r="BU52" s="526"/>
      <c r="BV52" s="526"/>
      <c r="BW52" s="526"/>
      <c r="BX52" s="526"/>
      <c r="BY52" s="526"/>
      <c r="BZ52" s="526"/>
      <c r="CA52" s="526"/>
      <c r="CB52" s="526"/>
      <c r="CC52" s="526"/>
      <c r="CD52" s="526"/>
      <c r="CE52" s="526"/>
      <c r="CF52" s="526"/>
      <c r="CG52" s="526"/>
      <c r="CH52" s="526"/>
      <c r="CI52" s="526"/>
      <c r="CJ52" s="526"/>
      <c r="CK52" s="526"/>
      <c r="CL52" s="526"/>
      <c r="CM52" s="526"/>
    </row>
    <row r="53" spans="1:91" s="197" customFormat="1" ht="16.5" thickBot="1">
      <c r="A53" s="188"/>
      <c r="B53" s="276"/>
      <c r="C53" s="199"/>
      <c r="D53" s="199"/>
      <c r="E53" s="199"/>
      <c r="F53" s="239"/>
      <c r="G53" s="190"/>
      <c r="H53" s="555"/>
      <c r="I53" s="550"/>
      <c r="J53" s="550"/>
      <c r="K53" s="550"/>
      <c r="L53" s="551"/>
      <c r="M53" s="551"/>
      <c r="N53" s="551"/>
      <c r="O53" s="551"/>
      <c r="P53" s="551"/>
      <c r="Q53" s="552"/>
      <c r="R53" s="552"/>
      <c r="S53" s="552"/>
      <c r="T53" s="552"/>
      <c r="U53" s="527"/>
      <c r="V53" s="527"/>
      <c r="W53" s="527"/>
      <c r="X53" s="527"/>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c r="BE53" s="526"/>
      <c r="BF53" s="526"/>
      <c r="BG53" s="526"/>
      <c r="BH53" s="526"/>
      <c r="BI53" s="526"/>
      <c r="BJ53" s="526"/>
      <c r="BK53" s="526"/>
      <c r="BL53" s="526"/>
      <c r="BM53" s="526"/>
      <c r="BN53" s="526"/>
      <c r="BO53" s="526"/>
      <c r="BP53" s="526"/>
      <c r="BQ53" s="526"/>
      <c r="BR53" s="526"/>
      <c r="BS53" s="526"/>
      <c r="BT53" s="526"/>
      <c r="BU53" s="526"/>
      <c r="BV53" s="526"/>
      <c r="BW53" s="526"/>
      <c r="BX53" s="526"/>
      <c r="BY53" s="526"/>
      <c r="BZ53" s="526"/>
      <c r="CA53" s="526"/>
      <c r="CB53" s="526"/>
      <c r="CC53" s="526"/>
      <c r="CD53" s="526"/>
      <c r="CE53" s="526"/>
      <c r="CF53" s="526"/>
      <c r="CG53" s="526"/>
      <c r="CH53" s="526"/>
      <c r="CI53" s="526"/>
      <c r="CJ53" s="526"/>
      <c r="CK53" s="526"/>
      <c r="CL53" s="526"/>
      <c r="CM53" s="526"/>
    </row>
    <row r="54" spans="1:91" s="197" customFormat="1" ht="21" thickBot="1">
      <c r="A54" s="188"/>
      <c r="B54" s="276" t="s">
        <v>1026</v>
      </c>
      <c r="C54" s="199" t="s">
        <v>1027</v>
      </c>
      <c r="D54" s="199"/>
      <c r="E54" s="199"/>
      <c r="F54" s="200">
        <v>5</v>
      </c>
      <c r="G54" s="190"/>
      <c r="H54" s="555"/>
      <c r="I54" s="550"/>
      <c r="J54" s="550"/>
      <c r="K54" s="550"/>
      <c r="L54" s="551"/>
      <c r="M54" s="551"/>
      <c r="N54" s="551"/>
      <c r="O54" s="551"/>
      <c r="P54" s="551"/>
      <c r="Q54" s="552"/>
      <c r="R54" s="552"/>
      <c r="S54" s="552"/>
      <c r="T54" s="552"/>
      <c r="U54" s="527"/>
      <c r="V54" s="527"/>
      <c r="W54" s="527"/>
      <c r="X54" s="527"/>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c r="BD54" s="526"/>
      <c r="BE54" s="526"/>
      <c r="BF54" s="526"/>
      <c r="BG54" s="526"/>
      <c r="BH54" s="526"/>
      <c r="BI54" s="526"/>
      <c r="BJ54" s="526"/>
      <c r="BK54" s="526"/>
      <c r="BL54" s="526"/>
      <c r="BM54" s="526"/>
      <c r="BN54" s="526"/>
      <c r="BO54" s="526"/>
      <c r="BP54" s="526"/>
      <c r="BQ54" s="526"/>
      <c r="BR54" s="526"/>
      <c r="BS54" s="526"/>
      <c r="BT54" s="526"/>
      <c r="BU54" s="526"/>
      <c r="BV54" s="526"/>
      <c r="BW54" s="526"/>
      <c r="BX54" s="526"/>
      <c r="BY54" s="526"/>
      <c r="BZ54" s="526"/>
      <c r="CA54" s="526"/>
      <c r="CB54" s="526"/>
      <c r="CC54" s="526"/>
      <c r="CD54" s="526"/>
      <c r="CE54" s="526"/>
      <c r="CF54" s="526"/>
      <c r="CG54" s="526"/>
      <c r="CH54" s="526"/>
      <c r="CI54" s="526"/>
      <c r="CJ54" s="526"/>
      <c r="CK54" s="526"/>
      <c r="CL54" s="526"/>
      <c r="CM54" s="526"/>
    </row>
    <row r="55" spans="1:91" s="197" customFormat="1" ht="16.5" thickBot="1">
      <c r="A55" s="188"/>
      <c r="B55" s="276"/>
      <c r="C55" s="199"/>
      <c r="D55" s="199"/>
      <c r="E55" s="199"/>
      <c r="F55" s="239"/>
      <c r="G55" s="190"/>
      <c r="H55" s="555"/>
      <c r="I55" s="550"/>
      <c r="J55" s="550"/>
      <c r="K55" s="550"/>
      <c r="L55" s="551"/>
      <c r="M55" s="551"/>
      <c r="N55" s="551"/>
      <c r="O55" s="551"/>
      <c r="P55" s="551"/>
      <c r="Q55" s="552"/>
      <c r="R55" s="552"/>
      <c r="S55" s="552"/>
      <c r="T55" s="552"/>
      <c r="U55" s="527"/>
      <c r="V55" s="527"/>
      <c r="W55" s="527"/>
      <c r="X55" s="527"/>
      <c r="Y55" s="526"/>
      <c r="Z55" s="526"/>
      <c r="AA55" s="526"/>
      <c r="AB55" s="526"/>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526"/>
      <c r="AY55" s="526"/>
      <c r="AZ55" s="526"/>
      <c r="BA55" s="526"/>
      <c r="BB55" s="526"/>
      <c r="BC55" s="526"/>
      <c r="BD55" s="526"/>
      <c r="BE55" s="526"/>
      <c r="BF55" s="526"/>
      <c r="BG55" s="526"/>
      <c r="BH55" s="526"/>
      <c r="BI55" s="526"/>
      <c r="BJ55" s="526"/>
      <c r="BK55" s="526"/>
      <c r="BL55" s="526"/>
      <c r="BM55" s="526"/>
      <c r="BN55" s="526"/>
      <c r="BO55" s="526"/>
      <c r="BP55" s="526"/>
      <c r="BQ55" s="526"/>
      <c r="BR55" s="526"/>
      <c r="BS55" s="526"/>
      <c r="BT55" s="526"/>
      <c r="BU55" s="526"/>
      <c r="BV55" s="526"/>
      <c r="BW55" s="526"/>
      <c r="BX55" s="526"/>
      <c r="BY55" s="526"/>
      <c r="BZ55" s="526"/>
      <c r="CA55" s="526"/>
      <c r="CB55" s="526"/>
      <c r="CC55" s="526"/>
      <c r="CD55" s="526"/>
      <c r="CE55" s="526"/>
      <c r="CF55" s="526"/>
      <c r="CG55" s="526"/>
      <c r="CH55" s="526"/>
      <c r="CI55" s="526"/>
      <c r="CJ55" s="526"/>
      <c r="CK55" s="526"/>
      <c r="CL55" s="526"/>
      <c r="CM55" s="526"/>
    </row>
    <row r="56" spans="1:91" s="197" customFormat="1" ht="21" thickBot="1">
      <c r="A56" s="188"/>
      <c r="B56" s="276" t="s">
        <v>1028</v>
      </c>
      <c r="C56" s="738" t="s">
        <v>985</v>
      </c>
      <c r="D56" s="738"/>
      <c r="E56" s="199"/>
      <c r="F56" s="200">
        <v>6</v>
      </c>
      <c r="G56" s="190"/>
      <c r="H56" s="555"/>
      <c r="I56" s="550"/>
      <c r="J56" s="550"/>
      <c r="K56" s="550"/>
      <c r="L56" s="551"/>
      <c r="M56" s="551"/>
      <c r="N56" s="551"/>
      <c r="O56" s="551"/>
      <c r="P56" s="551"/>
      <c r="Q56" s="552"/>
      <c r="R56" s="552"/>
      <c r="S56" s="552"/>
      <c r="T56" s="552"/>
      <c r="U56" s="527"/>
      <c r="V56" s="527"/>
      <c r="W56" s="527"/>
      <c r="X56" s="527"/>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c r="BH56" s="526"/>
      <c r="BI56" s="526"/>
      <c r="BJ56" s="526"/>
      <c r="BK56" s="526"/>
      <c r="BL56" s="526"/>
      <c r="BM56" s="526"/>
      <c r="BN56" s="526"/>
      <c r="BO56" s="526"/>
      <c r="BP56" s="526"/>
      <c r="BQ56" s="526"/>
      <c r="BR56" s="526"/>
      <c r="BS56" s="526"/>
      <c r="BT56" s="526"/>
      <c r="BU56" s="526"/>
      <c r="BV56" s="526"/>
      <c r="BW56" s="526"/>
      <c r="BX56" s="526"/>
      <c r="BY56" s="526"/>
      <c r="BZ56" s="526"/>
      <c r="CA56" s="526"/>
      <c r="CB56" s="526"/>
      <c r="CC56" s="526"/>
      <c r="CD56" s="526"/>
      <c r="CE56" s="526"/>
      <c r="CF56" s="526"/>
      <c r="CG56" s="526"/>
      <c r="CH56" s="526"/>
      <c r="CI56" s="526"/>
      <c r="CJ56" s="526"/>
      <c r="CK56" s="526"/>
      <c r="CL56" s="526"/>
      <c r="CM56" s="526"/>
    </row>
    <row r="57" spans="1:91" s="197" customFormat="1" ht="16.5" thickBot="1">
      <c r="A57" s="188"/>
      <c r="B57" s="276"/>
      <c r="C57" s="738"/>
      <c r="D57" s="738"/>
      <c r="E57" s="199"/>
      <c r="F57" s="239"/>
      <c r="G57" s="190"/>
      <c r="H57" s="555"/>
      <c r="I57" s="550"/>
      <c r="J57" s="550"/>
      <c r="K57" s="550"/>
      <c r="L57" s="551"/>
      <c r="M57" s="551"/>
      <c r="N57" s="551"/>
      <c r="O57" s="551"/>
      <c r="P57" s="551"/>
      <c r="Q57" s="552"/>
      <c r="R57" s="552"/>
      <c r="S57" s="552"/>
      <c r="T57" s="552"/>
      <c r="U57" s="527"/>
      <c r="V57" s="527"/>
      <c r="W57" s="527"/>
      <c r="X57" s="527"/>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c r="BH57" s="526"/>
      <c r="BI57" s="526"/>
      <c r="BJ57" s="526"/>
      <c r="BK57" s="526"/>
      <c r="BL57" s="526"/>
      <c r="BM57" s="526"/>
      <c r="BN57" s="526"/>
      <c r="BO57" s="526"/>
      <c r="BP57" s="526"/>
      <c r="BQ57" s="526"/>
      <c r="BR57" s="526"/>
      <c r="BS57" s="526"/>
      <c r="BT57" s="526"/>
      <c r="BU57" s="526"/>
      <c r="BV57" s="526"/>
      <c r="BW57" s="526"/>
      <c r="BX57" s="526"/>
      <c r="BY57" s="526"/>
      <c r="BZ57" s="526"/>
      <c r="CA57" s="526"/>
      <c r="CB57" s="526"/>
      <c r="CC57" s="526"/>
      <c r="CD57" s="526"/>
      <c r="CE57" s="526"/>
      <c r="CF57" s="526"/>
      <c r="CG57" s="526"/>
      <c r="CH57" s="526"/>
      <c r="CI57" s="526"/>
      <c r="CJ57" s="526"/>
      <c r="CK57" s="526"/>
      <c r="CL57" s="526"/>
      <c r="CM57" s="526"/>
    </row>
    <row r="58" spans="1:91" s="197" customFormat="1" ht="21" thickBot="1">
      <c r="A58" s="188"/>
      <c r="B58" s="276" t="s">
        <v>1029</v>
      </c>
      <c r="C58" s="738" t="s">
        <v>1015</v>
      </c>
      <c r="D58" s="672"/>
      <c r="E58" s="199"/>
      <c r="F58" s="200">
        <v>2</v>
      </c>
      <c r="G58" s="190"/>
      <c r="H58" s="555"/>
      <c r="I58" s="550"/>
      <c r="J58" s="550"/>
      <c r="K58" s="550"/>
      <c r="L58" s="551"/>
      <c r="M58" s="551"/>
      <c r="N58" s="551"/>
      <c r="O58" s="551"/>
      <c r="P58" s="551"/>
      <c r="Q58" s="552"/>
      <c r="R58" s="552"/>
      <c r="S58" s="552"/>
      <c r="T58" s="552"/>
      <c r="U58" s="527"/>
      <c r="V58" s="527"/>
      <c r="W58" s="527"/>
      <c r="X58" s="527"/>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6"/>
      <c r="AY58" s="526"/>
      <c r="AZ58" s="526"/>
      <c r="BA58" s="526"/>
      <c r="BB58" s="526"/>
      <c r="BC58" s="526"/>
      <c r="BD58" s="526"/>
      <c r="BE58" s="526"/>
      <c r="BF58" s="526"/>
      <c r="BG58" s="526"/>
      <c r="BH58" s="526"/>
      <c r="BI58" s="526"/>
      <c r="BJ58" s="526"/>
      <c r="BK58" s="526"/>
      <c r="BL58" s="526"/>
      <c r="BM58" s="526"/>
      <c r="BN58" s="526"/>
      <c r="BO58" s="526"/>
      <c r="BP58" s="526"/>
      <c r="BQ58" s="526"/>
      <c r="BR58" s="526"/>
      <c r="BS58" s="526"/>
      <c r="BT58" s="526"/>
      <c r="BU58" s="526"/>
      <c r="BV58" s="526"/>
      <c r="BW58" s="526"/>
      <c r="BX58" s="526"/>
      <c r="BY58" s="526"/>
      <c r="BZ58" s="526"/>
      <c r="CA58" s="526"/>
      <c r="CB58" s="526"/>
      <c r="CC58" s="526"/>
      <c r="CD58" s="526"/>
      <c r="CE58" s="526"/>
      <c r="CF58" s="526"/>
      <c r="CG58" s="526"/>
      <c r="CH58" s="526"/>
      <c r="CI58" s="526"/>
      <c r="CJ58" s="526"/>
      <c r="CK58" s="526"/>
      <c r="CL58" s="526"/>
      <c r="CM58" s="526"/>
    </row>
    <row r="59" spans="1:91" s="197" customFormat="1" ht="16.5" thickBot="1">
      <c r="A59" s="188"/>
      <c r="B59" s="276"/>
      <c r="C59" s="672"/>
      <c r="D59" s="672"/>
      <c r="E59" s="199"/>
      <c r="F59" s="239"/>
      <c r="G59" s="190"/>
      <c r="H59" s="555"/>
      <c r="I59" s="550"/>
      <c r="J59" s="550"/>
      <c r="K59" s="550"/>
      <c r="L59" s="551"/>
      <c r="M59" s="551"/>
      <c r="N59" s="551"/>
      <c r="O59" s="551"/>
      <c r="P59" s="551"/>
      <c r="Q59" s="552"/>
      <c r="R59" s="552"/>
      <c r="S59" s="552"/>
      <c r="T59" s="552"/>
      <c r="U59" s="527"/>
      <c r="V59" s="527"/>
      <c r="W59" s="527"/>
      <c r="X59" s="527"/>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c r="BC59" s="526"/>
      <c r="BD59" s="526"/>
      <c r="BE59" s="526"/>
      <c r="BF59" s="526"/>
      <c r="BG59" s="526"/>
      <c r="BH59" s="526"/>
      <c r="BI59" s="526"/>
      <c r="BJ59" s="526"/>
      <c r="BK59" s="526"/>
      <c r="BL59" s="526"/>
      <c r="BM59" s="526"/>
      <c r="BN59" s="526"/>
      <c r="BO59" s="526"/>
      <c r="BP59" s="526"/>
      <c r="BQ59" s="526"/>
      <c r="BR59" s="526"/>
      <c r="BS59" s="526"/>
      <c r="BT59" s="526"/>
      <c r="BU59" s="526"/>
      <c r="BV59" s="526"/>
      <c r="BW59" s="526"/>
      <c r="BX59" s="526"/>
      <c r="BY59" s="526"/>
      <c r="BZ59" s="526"/>
      <c r="CA59" s="526"/>
      <c r="CB59" s="526"/>
      <c r="CC59" s="526"/>
      <c r="CD59" s="526"/>
      <c r="CE59" s="526"/>
      <c r="CF59" s="526"/>
      <c r="CG59" s="526"/>
      <c r="CH59" s="526"/>
      <c r="CI59" s="526"/>
      <c r="CJ59" s="526"/>
      <c r="CK59" s="526"/>
      <c r="CL59" s="526"/>
      <c r="CM59" s="526"/>
    </row>
    <row r="60" spans="1:91" s="197" customFormat="1" ht="21" thickBot="1">
      <c r="A60" s="188"/>
      <c r="B60" s="276" t="s">
        <v>1030</v>
      </c>
      <c r="C60" s="738" t="s">
        <v>988</v>
      </c>
      <c r="D60" s="738"/>
      <c r="E60" s="199"/>
      <c r="F60" s="200">
        <v>4</v>
      </c>
      <c r="G60" s="190"/>
      <c r="H60" s="555"/>
      <c r="I60" s="550"/>
      <c r="J60" s="550"/>
      <c r="K60" s="550"/>
      <c r="L60" s="551"/>
      <c r="M60" s="551"/>
      <c r="N60" s="551"/>
      <c r="O60" s="551"/>
      <c r="P60" s="551"/>
      <c r="Q60" s="552"/>
      <c r="R60" s="552"/>
      <c r="S60" s="552"/>
      <c r="T60" s="552"/>
      <c r="U60" s="527"/>
      <c r="V60" s="527"/>
      <c r="W60" s="527"/>
      <c r="X60" s="527"/>
      <c r="Y60" s="526"/>
      <c r="Z60" s="526"/>
      <c r="AA60" s="526"/>
      <c r="AB60" s="526"/>
      <c r="AC60" s="526"/>
      <c r="AD60" s="526"/>
      <c r="AE60" s="526"/>
      <c r="AF60" s="526"/>
      <c r="AG60" s="526"/>
      <c r="AH60" s="526"/>
      <c r="AI60" s="526"/>
      <c r="AJ60" s="526"/>
      <c r="AK60" s="526"/>
      <c r="AL60" s="526"/>
      <c r="AM60" s="526"/>
      <c r="AN60" s="526"/>
      <c r="AO60" s="526"/>
      <c r="AP60" s="526"/>
      <c r="AQ60" s="526"/>
      <c r="AR60" s="526"/>
      <c r="AS60" s="526"/>
      <c r="AT60" s="526"/>
      <c r="AU60" s="526"/>
      <c r="AV60" s="526"/>
      <c r="AW60" s="526"/>
      <c r="AX60" s="526"/>
      <c r="AY60" s="526"/>
      <c r="AZ60" s="526"/>
      <c r="BA60" s="526"/>
      <c r="BB60" s="526"/>
      <c r="BC60" s="526"/>
      <c r="BD60" s="526"/>
      <c r="BE60" s="526"/>
      <c r="BF60" s="526"/>
      <c r="BG60" s="526"/>
      <c r="BH60" s="526"/>
      <c r="BI60" s="526"/>
      <c r="BJ60" s="526"/>
      <c r="BK60" s="526"/>
      <c r="BL60" s="526"/>
      <c r="BM60" s="526"/>
      <c r="BN60" s="526"/>
      <c r="BO60" s="526"/>
      <c r="BP60" s="526"/>
      <c r="BQ60" s="526"/>
      <c r="BR60" s="526"/>
      <c r="BS60" s="526"/>
      <c r="BT60" s="526"/>
      <c r="BU60" s="526"/>
      <c r="BV60" s="526"/>
      <c r="BW60" s="526"/>
      <c r="BX60" s="526"/>
      <c r="BY60" s="526"/>
      <c r="BZ60" s="526"/>
      <c r="CA60" s="526"/>
      <c r="CB60" s="526"/>
      <c r="CC60" s="526"/>
      <c r="CD60" s="526"/>
      <c r="CE60" s="526"/>
      <c r="CF60" s="526"/>
      <c r="CG60" s="526"/>
      <c r="CH60" s="526"/>
      <c r="CI60" s="526"/>
      <c r="CJ60" s="526"/>
      <c r="CK60" s="526"/>
      <c r="CL60" s="526"/>
      <c r="CM60" s="526"/>
    </row>
    <row r="61" spans="1:91" s="197" customFormat="1" ht="16.5" thickBot="1">
      <c r="A61" s="188"/>
      <c r="B61" s="276"/>
      <c r="C61" s="738"/>
      <c r="D61" s="738"/>
      <c r="E61" s="199"/>
      <c r="F61" s="239"/>
      <c r="G61" s="190"/>
      <c r="H61" s="555"/>
      <c r="I61" s="550"/>
      <c r="J61" s="550"/>
      <c r="K61" s="550"/>
      <c r="L61" s="551"/>
      <c r="M61" s="551"/>
      <c r="N61" s="551"/>
      <c r="O61" s="551"/>
      <c r="P61" s="551"/>
      <c r="Q61" s="552"/>
      <c r="R61" s="552"/>
      <c r="S61" s="552"/>
      <c r="T61" s="552"/>
      <c r="U61" s="527"/>
      <c r="V61" s="527"/>
      <c r="W61" s="527"/>
      <c r="X61" s="527"/>
      <c r="Y61" s="526"/>
      <c r="Z61" s="526"/>
      <c r="AA61" s="526"/>
      <c r="AB61" s="526"/>
      <c r="AC61" s="526"/>
      <c r="AD61" s="526"/>
      <c r="AE61" s="526"/>
      <c r="AF61" s="526"/>
      <c r="AG61" s="526"/>
      <c r="AH61" s="526"/>
      <c r="AI61" s="526"/>
      <c r="AJ61" s="526"/>
      <c r="AK61" s="526"/>
      <c r="AL61" s="526"/>
      <c r="AM61" s="526"/>
      <c r="AN61" s="526"/>
      <c r="AO61" s="526"/>
      <c r="AP61" s="526"/>
      <c r="AQ61" s="526"/>
      <c r="AR61" s="526"/>
      <c r="AS61" s="526"/>
      <c r="AT61" s="526"/>
      <c r="AU61" s="526"/>
      <c r="AV61" s="526"/>
      <c r="AW61" s="526"/>
      <c r="AX61" s="526"/>
      <c r="AY61" s="526"/>
      <c r="AZ61" s="526"/>
      <c r="BA61" s="526"/>
      <c r="BB61" s="526"/>
      <c r="BC61" s="526"/>
      <c r="BD61" s="526"/>
      <c r="BE61" s="526"/>
      <c r="BF61" s="526"/>
      <c r="BG61" s="526"/>
      <c r="BH61" s="526"/>
      <c r="BI61" s="526"/>
      <c r="BJ61" s="526"/>
      <c r="BK61" s="526"/>
      <c r="BL61" s="526"/>
      <c r="BM61" s="526"/>
      <c r="BN61" s="526"/>
      <c r="BO61" s="526"/>
      <c r="BP61" s="526"/>
      <c r="BQ61" s="526"/>
      <c r="BR61" s="526"/>
      <c r="BS61" s="526"/>
      <c r="BT61" s="526"/>
      <c r="BU61" s="526"/>
      <c r="BV61" s="526"/>
      <c r="BW61" s="526"/>
      <c r="BX61" s="526"/>
      <c r="BY61" s="526"/>
      <c r="BZ61" s="526"/>
      <c r="CA61" s="526"/>
      <c r="CB61" s="526"/>
      <c r="CC61" s="526"/>
      <c r="CD61" s="526"/>
      <c r="CE61" s="526"/>
      <c r="CF61" s="526"/>
      <c r="CG61" s="526"/>
      <c r="CH61" s="526"/>
      <c r="CI61" s="526"/>
      <c r="CJ61" s="526"/>
      <c r="CK61" s="526"/>
      <c r="CL61" s="526"/>
      <c r="CM61" s="526"/>
    </row>
    <row r="62" spans="1:91" s="197" customFormat="1" ht="21" thickBot="1">
      <c r="A62" s="188"/>
      <c r="B62" s="276" t="s">
        <v>1031</v>
      </c>
      <c r="C62" s="199" t="s">
        <v>1032</v>
      </c>
      <c r="D62" s="199"/>
      <c r="E62" s="199"/>
      <c r="F62" s="200">
        <v>20</v>
      </c>
      <c r="G62" s="190"/>
      <c r="H62" s="555"/>
      <c r="I62" s="550"/>
      <c r="J62" s="550"/>
      <c r="K62" s="550"/>
      <c r="L62" s="551"/>
      <c r="M62" s="551"/>
      <c r="N62" s="551"/>
      <c r="O62" s="551"/>
      <c r="P62" s="551"/>
      <c r="Q62" s="552"/>
      <c r="R62" s="552"/>
      <c r="S62" s="552"/>
      <c r="T62" s="552"/>
      <c r="U62" s="527"/>
      <c r="V62" s="527"/>
      <c r="W62" s="527"/>
      <c r="X62" s="527"/>
      <c r="Y62" s="526"/>
      <c r="Z62" s="526"/>
      <c r="AA62" s="526"/>
      <c r="AB62" s="526"/>
      <c r="AC62" s="526"/>
      <c r="AD62" s="526"/>
      <c r="AE62" s="526"/>
      <c r="AF62" s="526"/>
      <c r="AG62" s="526"/>
      <c r="AH62" s="526"/>
      <c r="AI62" s="526"/>
      <c r="AJ62" s="526"/>
      <c r="AK62" s="526"/>
      <c r="AL62" s="526"/>
      <c r="AM62" s="526"/>
      <c r="AN62" s="526"/>
      <c r="AO62" s="526"/>
      <c r="AP62" s="526"/>
      <c r="AQ62" s="526"/>
      <c r="AR62" s="526"/>
      <c r="AS62" s="526"/>
      <c r="AT62" s="526"/>
      <c r="AU62" s="526"/>
      <c r="AV62" s="526"/>
      <c r="AW62" s="526"/>
      <c r="AX62" s="526"/>
      <c r="AY62" s="526"/>
      <c r="AZ62" s="526"/>
      <c r="BA62" s="526"/>
      <c r="BB62" s="526"/>
      <c r="BC62" s="526"/>
      <c r="BD62" s="526"/>
      <c r="BE62" s="526"/>
      <c r="BF62" s="526"/>
      <c r="BG62" s="526"/>
      <c r="BH62" s="526"/>
      <c r="BI62" s="526"/>
      <c r="BJ62" s="526"/>
      <c r="BK62" s="526"/>
      <c r="BL62" s="526"/>
      <c r="BM62" s="526"/>
      <c r="BN62" s="526"/>
      <c r="BO62" s="526"/>
      <c r="BP62" s="526"/>
      <c r="BQ62" s="526"/>
      <c r="BR62" s="526"/>
      <c r="BS62" s="526"/>
      <c r="BT62" s="526"/>
      <c r="BU62" s="526"/>
      <c r="BV62" s="526"/>
      <c r="BW62" s="526"/>
      <c r="BX62" s="526"/>
      <c r="BY62" s="526"/>
      <c r="BZ62" s="526"/>
      <c r="CA62" s="526"/>
      <c r="CB62" s="526"/>
      <c r="CC62" s="526"/>
      <c r="CD62" s="526"/>
      <c r="CE62" s="526"/>
      <c r="CF62" s="526"/>
      <c r="CG62" s="526"/>
      <c r="CH62" s="526"/>
      <c r="CI62" s="526"/>
      <c r="CJ62" s="526"/>
      <c r="CK62" s="526"/>
      <c r="CL62" s="526"/>
      <c r="CM62" s="526"/>
    </row>
    <row r="63" spans="1:91" s="197" customFormat="1" ht="16.5" thickBot="1">
      <c r="A63" s="188"/>
      <c r="B63" s="276"/>
      <c r="C63" s="199"/>
      <c r="D63" s="199"/>
      <c r="E63" s="199"/>
      <c r="F63" s="239"/>
      <c r="G63" s="190"/>
      <c r="H63" s="555"/>
      <c r="I63" s="550"/>
      <c r="J63" s="550"/>
      <c r="K63" s="550"/>
      <c r="L63" s="551"/>
      <c r="M63" s="551"/>
      <c r="N63" s="551"/>
      <c r="O63" s="551"/>
      <c r="P63" s="551"/>
      <c r="Q63" s="552"/>
      <c r="R63" s="552"/>
      <c r="S63" s="552"/>
      <c r="T63" s="552"/>
      <c r="U63" s="527"/>
      <c r="V63" s="527"/>
      <c r="W63" s="527"/>
      <c r="X63" s="527"/>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526"/>
      <c r="AY63" s="526"/>
      <c r="AZ63" s="526"/>
      <c r="BA63" s="526"/>
      <c r="BB63" s="526"/>
      <c r="BC63" s="526"/>
      <c r="BD63" s="526"/>
      <c r="BE63" s="526"/>
      <c r="BF63" s="526"/>
      <c r="BG63" s="526"/>
      <c r="BH63" s="526"/>
      <c r="BI63" s="526"/>
      <c r="BJ63" s="526"/>
      <c r="BK63" s="526"/>
      <c r="BL63" s="526"/>
      <c r="BM63" s="526"/>
      <c r="BN63" s="526"/>
      <c r="BO63" s="526"/>
      <c r="BP63" s="526"/>
      <c r="BQ63" s="526"/>
      <c r="BR63" s="526"/>
      <c r="BS63" s="526"/>
      <c r="BT63" s="526"/>
      <c r="BU63" s="526"/>
      <c r="BV63" s="526"/>
      <c r="BW63" s="526"/>
      <c r="BX63" s="526"/>
      <c r="BY63" s="526"/>
      <c r="BZ63" s="526"/>
      <c r="CA63" s="526"/>
      <c r="CB63" s="526"/>
      <c r="CC63" s="526"/>
      <c r="CD63" s="526"/>
      <c r="CE63" s="526"/>
      <c r="CF63" s="526"/>
      <c r="CG63" s="526"/>
      <c r="CH63" s="526"/>
      <c r="CI63" s="526"/>
      <c r="CJ63" s="526"/>
      <c r="CK63" s="526"/>
      <c r="CL63" s="526"/>
      <c r="CM63" s="526"/>
    </row>
    <row r="64" spans="1:91" s="197" customFormat="1" ht="21" thickBot="1">
      <c r="A64" s="188"/>
      <c r="B64" s="276" t="s">
        <v>1033</v>
      </c>
      <c r="C64" s="199" t="s">
        <v>1034</v>
      </c>
      <c r="D64" s="199"/>
      <c r="E64" s="199"/>
      <c r="F64" s="200">
        <v>104</v>
      </c>
      <c r="G64" s="190"/>
      <c r="H64" s="555"/>
      <c r="I64" s="550"/>
      <c r="J64" s="550"/>
      <c r="K64" s="550"/>
      <c r="L64" s="551"/>
      <c r="M64" s="551"/>
      <c r="N64" s="551"/>
      <c r="O64" s="551"/>
      <c r="P64" s="551"/>
      <c r="Q64" s="552"/>
      <c r="R64" s="552"/>
      <c r="S64" s="552"/>
      <c r="T64" s="552"/>
      <c r="U64" s="527"/>
      <c r="V64" s="527"/>
      <c r="W64" s="527"/>
      <c r="X64" s="527"/>
      <c r="Y64" s="526"/>
      <c r="Z64" s="526"/>
      <c r="AA64" s="526"/>
      <c r="AB64" s="526"/>
      <c r="AC64" s="526"/>
      <c r="AD64" s="526"/>
      <c r="AE64" s="526"/>
      <c r="AF64" s="526"/>
      <c r="AG64" s="526"/>
      <c r="AH64" s="526"/>
      <c r="AI64" s="526"/>
      <c r="AJ64" s="526"/>
      <c r="AK64" s="526"/>
      <c r="AL64" s="526"/>
      <c r="AM64" s="526"/>
      <c r="AN64" s="526"/>
      <c r="AO64" s="526"/>
      <c r="AP64" s="526"/>
      <c r="AQ64" s="526"/>
      <c r="AR64" s="526"/>
      <c r="AS64" s="526"/>
      <c r="AT64" s="526"/>
      <c r="AU64" s="526"/>
      <c r="AV64" s="526"/>
      <c r="AW64" s="526"/>
      <c r="AX64" s="526"/>
      <c r="AY64" s="526"/>
      <c r="AZ64" s="526"/>
      <c r="BA64" s="526"/>
      <c r="BB64" s="526"/>
      <c r="BC64" s="526"/>
      <c r="BD64" s="526"/>
      <c r="BE64" s="526"/>
      <c r="BF64" s="526"/>
      <c r="BG64" s="526"/>
      <c r="BH64" s="526"/>
      <c r="BI64" s="526"/>
      <c r="BJ64" s="526"/>
      <c r="BK64" s="526"/>
      <c r="BL64" s="526"/>
      <c r="BM64" s="526"/>
      <c r="BN64" s="526"/>
      <c r="BO64" s="526"/>
      <c r="BP64" s="526"/>
      <c r="BQ64" s="526"/>
      <c r="BR64" s="526"/>
      <c r="BS64" s="526"/>
      <c r="BT64" s="526"/>
      <c r="BU64" s="526"/>
      <c r="BV64" s="526"/>
      <c r="BW64" s="526"/>
      <c r="BX64" s="526"/>
      <c r="BY64" s="526"/>
      <c r="BZ64" s="526"/>
      <c r="CA64" s="526"/>
      <c r="CB64" s="526"/>
      <c r="CC64" s="526"/>
      <c r="CD64" s="526"/>
      <c r="CE64" s="526"/>
      <c r="CF64" s="526"/>
      <c r="CG64" s="526"/>
      <c r="CH64" s="526"/>
      <c r="CI64" s="526"/>
      <c r="CJ64" s="526"/>
      <c r="CK64" s="526"/>
      <c r="CL64" s="526"/>
      <c r="CM64" s="526"/>
    </row>
    <row r="65" spans="1:91" s="197" customFormat="1" ht="16.5" thickBot="1">
      <c r="A65" s="188"/>
      <c r="B65" s="276"/>
      <c r="C65" s="199"/>
      <c r="D65" s="199"/>
      <c r="E65" s="199"/>
      <c r="F65" s="239"/>
      <c r="G65" s="190"/>
      <c r="H65" s="555"/>
      <c r="I65" s="550"/>
      <c r="J65" s="550"/>
      <c r="K65" s="550"/>
      <c r="L65" s="551"/>
      <c r="M65" s="551"/>
      <c r="N65" s="551"/>
      <c r="O65" s="551"/>
      <c r="P65" s="551"/>
      <c r="Q65" s="552"/>
      <c r="R65" s="552"/>
      <c r="S65" s="552"/>
      <c r="T65" s="552"/>
      <c r="U65" s="527"/>
      <c r="V65" s="527"/>
      <c r="W65" s="527"/>
      <c r="X65" s="527"/>
      <c r="Y65" s="526"/>
      <c r="Z65" s="526"/>
      <c r="AA65" s="526"/>
      <c r="AB65" s="526"/>
      <c r="AC65" s="526"/>
      <c r="AD65" s="526"/>
      <c r="AE65" s="526"/>
      <c r="AF65" s="526"/>
      <c r="AG65" s="526"/>
      <c r="AH65" s="526"/>
      <c r="AI65" s="526"/>
      <c r="AJ65" s="526"/>
      <c r="AK65" s="526"/>
      <c r="AL65" s="526"/>
      <c r="AM65" s="526"/>
      <c r="AN65" s="526"/>
      <c r="AO65" s="526"/>
      <c r="AP65" s="526"/>
      <c r="AQ65" s="526"/>
      <c r="AR65" s="526"/>
      <c r="AS65" s="526"/>
      <c r="AT65" s="526"/>
      <c r="AU65" s="526"/>
      <c r="AV65" s="526"/>
      <c r="AW65" s="526"/>
      <c r="AX65" s="526"/>
      <c r="AY65" s="526"/>
      <c r="AZ65" s="526"/>
      <c r="BA65" s="526"/>
      <c r="BB65" s="526"/>
      <c r="BC65" s="526"/>
      <c r="BD65" s="526"/>
      <c r="BE65" s="526"/>
      <c r="BF65" s="526"/>
      <c r="BG65" s="526"/>
      <c r="BH65" s="526"/>
      <c r="BI65" s="526"/>
      <c r="BJ65" s="526"/>
      <c r="BK65" s="526"/>
      <c r="BL65" s="526"/>
      <c r="BM65" s="526"/>
      <c r="BN65" s="526"/>
      <c r="BO65" s="526"/>
      <c r="BP65" s="526"/>
      <c r="BQ65" s="526"/>
      <c r="BR65" s="526"/>
      <c r="BS65" s="526"/>
      <c r="BT65" s="526"/>
      <c r="BU65" s="526"/>
      <c r="BV65" s="526"/>
      <c r="BW65" s="526"/>
      <c r="BX65" s="526"/>
      <c r="BY65" s="526"/>
      <c r="BZ65" s="526"/>
      <c r="CA65" s="526"/>
      <c r="CB65" s="526"/>
      <c r="CC65" s="526"/>
      <c r="CD65" s="526"/>
      <c r="CE65" s="526"/>
      <c r="CF65" s="526"/>
      <c r="CG65" s="526"/>
      <c r="CH65" s="526"/>
      <c r="CI65" s="526"/>
      <c r="CJ65" s="526"/>
      <c r="CK65" s="526"/>
      <c r="CL65" s="526"/>
      <c r="CM65" s="526"/>
    </row>
    <row r="66" spans="1:91" s="197" customFormat="1" ht="21" thickBot="1">
      <c r="A66" s="188"/>
      <c r="B66" s="276" t="s">
        <v>1035</v>
      </c>
      <c r="C66" s="738" t="s">
        <v>989</v>
      </c>
      <c r="D66" s="738"/>
      <c r="E66" s="199"/>
      <c r="F66" s="200">
        <v>1342</v>
      </c>
      <c r="G66" s="190"/>
      <c r="H66" s="555"/>
      <c r="I66" s="550"/>
      <c r="J66" s="550"/>
      <c r="K66" s="550"/>
      <c r="L66" s="551"/>
      <c r="M66" s="551"/>
      <c r="N66" s="551"/>
      <c r="O66" s="551"/>
      <c r="P66" s="551"/>
      <c r="Q66" s="552"/>
      <c r="R66" s="552"/>
      <c r="S66" s="552"/>
      <c r="T66" s="552"/>
      <c r="U66" s="527"/>
      <c r="V66" s="527"/>
      <c r="W66" s="527"/>
      <c r="X66" s="527"/>
      <c r="Y66" s="526"/>
      <c r="Z66" s="526"/>
      <c r="AA66" s="526"/>
      <c r="AB66" s="526"/>
      <c r="AC66" s="526"/>
      <c r="AD66" s="526"/>
      <c r="AE66" s="526"/>
      <c r="AF66" s="526"/>
      <c r="AG66" s="526"/>
      <c r="AH66" s="526"/>
      <c r="AI66" s="526"/>
      <c r="AJ66" s="526"/>
      <c r="AK66" s="526"/>
      <c r="AL66" s="526"/>
      <c r="AM66" s="526"/>
      <c r="AN66" s="526"/>
      <c r="AO66" s="526"/>
      <c r="AP66" s="526"/>
      <c r="AQ66" s="526"/>
      <c r="AR66" s="526"/>
      <c r="AS66" s="526"/>
      <c r="AT66" s="526"/>
      <c r="AU66" s="526"/>
      <c r="AV66" s="526"/>
      <c r="AW66" s="526"/>
      <c r="AX66" s="526"/>
      <c r="AY66" s="526"/>
      <c r="AZ66" s="526"/>
      <c r="BA66" s="526"/>
      <c r="BB66" s="526"/>
      <c r="BC66" s="526"/>
      <c r="BD66" s="526"/>
      <c r="BE66" s="526"/>
      <c r="BF66" s="526"/>
      <c r="BG66" s="526"/>
      <c r="BH66" s="526"/>
      <c r="BI66" s="526"/>
      <c r="BJ66" s="526"/>
      <c r="BK66" s="526"/>
      <c r="BL66" s="526"/>
      <c r="BM66" s="526"/>
      <c r="BN66" s="526"/>
      <c r="BO66" s="526"/>
      <c r="BP66" s="526"/>
      <c r="BQ66" s="526"/>
      <c r="BR66" s="526"/>
      <c r="BS66" s="526"/>
      <c r="BT66" s="526"/>
      <c r="BU66" s="526"/>
      <c r="BV66" s="526"/>
      <c r="BW66" s="526"/>
      <c r="BX66" s="526"/>
      <c r="BY66" s="526"/>
      <c r="BZ66" s="526"/>
      <c r="CA66" s="526"/>
      <c r="CB66" s="526"/>
      <c r="CC66" s="526"/>
      <c r="CD66" s="526"/>
      <c r="CE66" s="526"/>
      <c r="CF66" s="526"/>
      <c r="CG66" s="526"/>
      <c r="CH66" s="526"/>
      <c r="CI66" s="526"/>
      <c r="CJ66" s="526"/>
      <c r="CK66" s="526"/>
      <c r="CL66" s="526"/>
      <c r="CM66" s="526"/>
    </row>
    <row r="67" spans="1:91" s="197" customFormat="1" ht="16.5" thickBot="1">
      <c r="A67" s="188"/>
      <c r="B67" s="276"/>
      <c r="C67" s="738"/>
      <c r="D67" s="738"/>
      <c r="E67" s="199"/>
      <c r="F67" s="239"/>
      <c r="G67" s="190"/>
      <c r="H67" s="555"/>
      <c r="I67" s="550"/>
      <c r="J67" s="550"/>
      <c r="K67" s="550"/>
      <c r="L67" s="551"/>
      <c r="M67" s="551"/>
      <c r="N67" s="551"/>
      <c r="O67" s="551"/>
      <c r="P67" s="551"/>
      <c r="Q67" s="552"/>
      <c r="R67" s="552"/>
      <c r="S67" s="552"/>
      <c r="T67" s="552"/>
      <c r="U67" s="527"/>
      <c r="V67" s="527"/>
      <c r="W67" s="527"/>
      <c r="X67" s="527"/>
      <c r="Y67" s="526"/>
      <c r="Z67" s="526"/>
      <c r="AA67" s="526"/>
      <c r="AB67" s="526"/>
      <c r="AC67" s="526"/>
      <c r="AD67" s="526"/>
      <c r="AE67" s="526"/>
      <c r="AF67" s="526"/>
      <c r="AG67" s="526"/>
      <c r="AH67" s="526"/>
      <c r="AI67" s="526"/>
      <c r="AJ67" s="526"/>
      <c r="AK67" s="526"/>
      <c r="AL67" s="526"/>
      <c r="AM67" s="526"/>
      <c r="AN67" s="526"/>
      <c r="AO67" s="526"/>
      <c r="AP67" s="526"/>
      <c r="AQ67" s="526"/>
      <c r="AR67" s="526"/>
      <c r="AS67" s="526"/>
      <c r="AT67" s="526"/>
      <c r="AU67" s="526"/>
      <c r="AV67" s="526"/>
      <c r="AW67" s="526"/>
      <c r="AX67" s="526"/>
      <c r="AY67" s="526"/>
      <c r="AZ67" s="526"/>
      <c r="BA67" s="526"/>
      <c r="BB67" s="526"/>
      <c r="BC67" s="526"/>
      <c r="BD67" s="526"/>
      <c r="BE67" s="526"/>
      <c r="BF67" s="526"/>
      <c r="BG67" s="526"/>
      <c r="BH67" s="526"/>
      <c r="BI67" s="526"/>
      <c r="BJ67" s="526"/>
      <c r="BK67" s="526"/>
      <c r="BL67" s="526"/>
      <c r="BM67" s="526"/>
      <c r="BN67" s="526"/>
      <c r="BO67" s="526"/>
      <c r="BP67" s="526"/>
      <c r="BQ67" s="526"/>
      <c r="BR67" s="526"/>
      <c r="BS67" s="526"/>
      <c r="BT67" s="526"/>
      <c r="BU67" s="526"/>
      <c r="BV67" s="526"/>
      <c r="BW67" s="526"/>
      <c r="BX67" s="526"/>
      <c r="BY67" s="526"/>
      <c r="BZ67" s="526"/>
      <c r="CA67" s="526"/>
      <c r="CB67" s="526"/>
      <c r="CC67" s="526"/>
      <c r="CD67" s="526"/>
      <c r="CE67" s="526"/>
      <c r="CF67" s="526"/>
      <c r="CG67" s="526"/>
      <c r="CH67" s="526"/>
      <c r="CI67" s="526"/>
      <c r="CJ67" s="526"/>
      <c r="CK67" s="526"/>
      <c r="CL67" s="526"/>
      <c r="CM67" s="526"/>
    </row>
    <row r="68" spans="1:91" s="197" customFormat="1" ht="21" thickBot="1">
      <c r="A68" s="188"/>
      <c r="B68" s="276" t="s">
        <v>1036</v>
      </c>
      <c r="C68" s="738" t="s">
        <v>990</v>
      </c>
      <c r="D68" s="738"/>
      <c r="E68" s="199"/>
      <c r="F68" s="200">
        <v>0</v>
      </c>
      <c r="G68" s="190"/>
      <c r="H68" s="555"/>
      <c r="I68" s="550"/>
      <c r="J68" s="550"/>
      <c r="K68" s="550"/>
      <c r="L68" s="551"/>
      <c r="M68" s="551"/>
      <c r="N68" s="551"/>
      <c r="O68" s="551"/>
      <c r="P68" s="551"/>
      <c r="Q68" s="552"/>
      <c r="R68" s="552"/>
      <c r="S68" s="552"/>
      <c r="T68" s="552"/>
      <c r="U68" s="527"/>
      <c r="V68" s="527"/>
      <c r="W68" s="527"/>
      <c r="X68" s="527"/>
      <c r="Y68" s="526"/>
      <c r="Z68" s="526"/>
      <c r="AA68" s="526"/>
      <c r="AB68" s="526"/>
      <c r="AC68" s="526"/>
      <c r="AD68" s="526"/>
      <c r="AE68" s="526"/>
      <c r="AF68" s="526"/>
      <c r="AG68" s="526"/>
      <c r="AH68" s="526"/>
      <c r="AI68" s="526"/>
      <c r="AJ68" s="526"/>
      <c r="AK68" s="526"/>
      <c r="AL68" s="526"/>
      <c r="AM68" s="526"/>
      <c r="AN68" s="526"/>
      <c r="AO68" s="526"/>
      <c r="AP68" s="526"/>
      <c r="AQ68" s="526"/>
      <c r="AR68" s="526"/>
      <c r="AS68" s="526"/>
      <c r="AT68" s="526"/>
      <c r="AU68" s="526"/>
      <c r="AV68" s="526"/>
      <c r="AW68" s="526"/>
      <c r="AX68" s="526"/>
      <c r="AY68" s="526"/>
      <c r="AZ68" s="526"/>
      <c r="BA68" s="526"/>
      <c r="BB68" s="526"/>
      <c r="BC68" s="526"/>
      <c r="BD68" s="526"/>
      <c r="BE68" s="526"/>
      <c r="BF68" s="526"/>
      <c r="BG68" s="526"/>
      <c r="BH68" s="526"/>
      <c r="BI68" s="526"/>
      <c r="BJ68" s="526"/>
      <c r="BK68" s="526"/>
      <c r="BL68" s="526"/>
      <c r="BM68" s="526"/>
      <c r="BN68" s="526"/>
      <c r="BO68" s="526"/>
      <c r="BP68" s="526"/>
      <c r="BQ68" s="526"/>
      <c r="BR68" s="526"/>
      <c r="BS68" s="526"/>
      <c r="BT68" s="526"/>
      <c r="BU68" s="526"/>
      <c r="BV68" s="526"/>
      <c r="BW68" s="526"/>
      <c r="BX68" s="526"/>
      <c r="BY68" s="526"/>
      <c r="BZ68" s="526"/>
      <c r="CA68" s="526"/>
      <c r="CB68" s="526"/>
      <c r="CC68" s="526"/>
      <c r="CD68" s="526"/>
      <c r="CE68" s="526"/>
      <c r="CF68" s="526"/>
      <c r="CG68" s="526"/>
      <c r="CH68" s="526"/>
      <c r="CI68" s="526"/>
      <c r="CJ68" s="526"/>
      <c r="CK68" s="526"/>
      <c r="CL68" s="526"/>
      <c r="CM68" s="526"/>
    </row>
    <row r="69" spans="1:91" s="197" customFormat="1" ht="16.5" thickBot="1">
      <c r="A69" s="188"/>
      <c r="B69" s="276"/>
      <c r="C69" s="738"/>
      <c r="D69" s="738"/>
      <c r="E69" s="199"/>
      <c r="F69" s="239"/>
      <c r="G69" s="190"/>
      <c r="H69" s="555"/>
      <c r="I69" s="550"/>
      <c r="J69" s="550"/>
      <c r="K69" s="550"/>
      <c r="L69" s="551"/>
      <c r="M69" s="551"/>
      <c r="N69" s="551"/>
      <c r="O69" s="551"/>
      <c r="P69" s="551"/>
      <c r="Q69" s="552"/>
      <c r="R69" s="552"/>
      <c r="S69" s="552"/>
      <c r="T69" s="552"/>
      <c r="U69" s="527"/>
      <c r="V69" s="527"/>
      <c r="W69" s="527"/>
      <c r="X69" s="527"/>
      <c r="Y69" s="526"/>
      <c r="Z69" s="526"/>
      <c r="AA69" s="526"/>
      <c r="AB69" s="526"/>
      <c r="AC69" s="526"/>
      <c r="AD69" s="526"/>
      <c r="AE69" s="526"/>
      <c r="AF69" s="526"/>
      <c r="AG69" s="526"/>
      <c r="AH69" s="526"/>
      <c r="AI69" s="526"/>
      <c r="AJ69" s="526"/>
      <c r="AK69" s="526"/>
      <c r="AL69" s="526"/>
      <c r="AM69" s="526"/>
      <c r="AN69" s="526"/>
      <c r="AO69" s="526"/>
      <c r="AP69" s="526"/>
      <c r="AQ69" s="526"/>
      <c r="AR69" s="526"/>
      <c r="AS69" s="526"/>
      <c r="AT69" s="526"/>
      <c r="AU69" s="526"/>
      <c r="AV69" s="526"/>
      <c r="AW69" s="526"/>
      <c r="AX69" s="526"/>
      <c r="AY69" s="526"/>
      <c r="AZ69" s="526"/>
      <c r="BA69" s="526"/>
      <c r="BB69" s="526"/>
      <c r="BC69" s="526"/>
      <c r="BD69" s="526"/>
      <c r="BE69" s="526"/>
      <c r="BF69" s="526"/>
      <c r="BG69" s="526"/>
      <c r="BH69" s="526"/>
      <c r="BI69" s="526"/>
      <c r="BJ69" s="526"/>
      <c r="BK69" s="526"/>
      <c r="BL69" s="526"/>
      <c r="BM69" s="526"/>
      <c r="BN69" s="526"/>
      <c r="BO69" s="526"/>
      <c r="BP69" s="526"/>
      <c r="BQ69" s="526"/>
      <c r="BR69" s="526"/>
      <c r="BS69" s="526"/>
      <c r="BT69" s="526"/>
      <c r="BU69" s="526"/>
      <c r="BV69" s="526"/>
      <c r="BW69" s="526"/>
      <c r="BX69" s="526"/>
      <c r="BY69" s="526"/>
      <c r="BZ69" s="526"/>
      <c r="CA69" s="526"/>
      <c r="CB69" s="526"/>
      <c r="CC69" s="526"/>
      <c r="CD69" s="526"/>
      <c r="CE69" s="526"/>
      <c r="CF69" s="526"/>
      <c r="CG69" s="526"/>
      <c r="CH69" s="526"/>
      <c r="CI69" s="526"/>
      <c r="CJ69" s="526"/>
      <c r="CK69" s="526"/>
      <c r="CL69" s="526"/>
      <c r="CM69" s="526"/>
    </row>
    <row r="70" spans="1:91" s="197" customFormat="1" ht="21" thickBot="1">
      <c r="A70" s="188"/>
      <c r="B70" s="276" t="s">
        <v>1037</v>
      </c>
      <c r="C70" s="738" t="s">
        <v>1006</v>
      </c>
      <c r="D70" s="672"/>
      <c r="E70" s="199"/>
      <c r="F70" s="200">
        <v>4</v>
      </c>
      <c r="G70" s="190"/>
      <c r="H70" s="555"/>
      <c r="I70" s="550"/>
      <c r="J70" s="550"/>
      <c r="K70" s="550"/>
      <c r="L70" s="551"/>
      <c r="M70" s="551"/>
      <c r="N70" s="551"/>
      <c r="O70" s="551"/>
      <c r="P70" s="551"/>
      <c r="Q70" s="552"/>
      <c r="R70" s="552"/>
      <c r="S70" s="552"/>
      <c r="T70" s="552"/>
      <c r="U70" s="527"/>
      <c r="V70" s="527"/>
      <c r="W70" s="527"/>
      <c r="X70" s="527"/>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526"/>
      <c r="AV70" s="526"/>
      <c r="AW70" s="526"/>
      <c r="AX70" s="526"/>
      <c r="AY70" s="526"/>
      <c r="AZ70" s="526"/>
      <c r="BA70" s="526"/>
      <c r="BB70" s="526"/>
      <c r="BC70" s="526"/>
      <c r="BD70" s="526"/>
      <c r="BE70" s="526"/>
      <c r="BF70" s="526"/>
      <c r="BG70" s="526"/>
      <c r="BH70" s="526"/>
      <c r="BI70" s="526"/>
      <c r="BJ70" s="526"/>
      <c r="BK70" s="526"/>
      <c r="BL70" s="526"/>
      <c r="BM70" s="526"/>
      <c r="BN70" s="526"/>
      <c r="BO70" s="526"/>
      <c r="BP70" s="526"/>
      <c r="BQ70" s="526"/>
      <c r="BR70" s="526"/>
      <c r="BS70" s="526"/>
      <c r="BT70" s="526"/>
      <c r="BU70" s="526"/>
      <c r="BV70" s="526"/>
      <c r="BW70" s="526"/>
      <c r="BX70" s="526"/>
      <c r="BY70" s="526"/>
      <c r="BZ70" s="526"/>
      <c r="CA70" s="526"/>
      <c r="CB70" s="526"/>
      <c r="CC70" s="526"/>
      <c r="CD70" s="526"/>
      <c r="CE70" s="526"/>
      <c r="CF70" s="526"/>
      <c r="CG70" s="526"/>
      <c r="CH70" s="526"/>
      <c r="CI70" s="526"/>
      <c r="CJ70" s="526"/>
      <c r="CK70" s="526"/>
      <c r="CL70" s="526"/>
      <c r="CM70" s="526"/>
    </row>
    <row r="71" spans="1:91" s="197" customFormat="1" ht="16.5" thickBot="1">
      <c r="A71" s="188"/>
      <c r="B71" s="276"/>
      <c r="C71" s="672"/>
      <c r="D71" s="672"/>
      <c r="E71" s="199"/>
      <c r="F71" s="239"/>
      <c r="G71" s="190"/>
      <c r="H71" s="555"/>
      <c r="I71" s="550"/>
      <c r="J71" s="550"/>
      <c r="K71" s="550"/>
      <c r="L71" s="551"/>
      <c r="M71" s="551"/>
      <c r="N71" s="551"/>
      <c r="O71" s="551"/>
      <c r="P71" s="551"/>
      <c r="Q71" s="552"/>
      <c r="R71" s="552"/>
      <c r="S71" s="552"/>
      <c r="T71" s="552"/>
      <c r="U71" s="527"/>
      <c r="V71" s="527"/>
      <c r="W71" s="527"/>
      <c r="X71" s="527"/>
      <c r="Y71" s="526"/>
      <c r="Z71" s="526"/>
      <c r="AA71" s="526"/>
      <c r="AB71" s="526"/>
      <c r="AC71" s="526"/>
      <c r="AD71" s="526"/>
      <c r="AE71" s="526"/>
      <c r="AF71" s="526"/>
      <c r="AG71" s="526"/>
      <c r="AH71" s="526"/>
      <c r="AI71" s="526"/>
      <c r="AJ71" s="526"/>
      <c r="AK71" s="526"/>
      <c r="AL71" s="526"/>
      <c r="AM71" s="526"/>
      <c r="AN71" s="526"/>
      <c r="AO71" s="526"/>
      <c r="AP71" s="526"/>
      <c r="AQ71" s="526"/>
      <c r="AR71" s="526"/>
      <c r="AS71" s="526"/>
      <c r="AT71" s="526"/>
      <c r="AU71" s="526"/>
      <c r="AV71" s="526"/>
      <c r="AW71" s="526"/>
      <c r="AX71" s="526"/>
      <c r="AY71" s="526"/>
      <c r="AZ71" s="526"/>
      <c r="BA71" s="526"/>
      <c r="BB71" s="526"/>
      <c r="BC71" s="526"/>
      <c r="BD71" s="526"/>
      <c r="BE71" s="526"/>
      <c r="BF71" s="526"/>
      <c r="BG71" s="526"/>
      <c r="BH71" s="526"/>
      <c r="BI71" s="526"/>
      <c r="BJ71" s="526"/>
      <c r="BK71" s="526"/>
      <c r="BL71" s="526"/>
      <c r="BM71" s="526"/>
      <c r="BN71" s="526"/>
      <c r="BO71" s="526"/>
      <c r="BP71" s="526"/>
      <c r="BQ71" s="526"/>
      <c r="BR71" s="526"/>
      <c r="BS71" s="526"/>
      <c r="BT71" s="526"/>
      <c r="BU71" s="526"/>
      <c r="BV71" s="526"/>
      <c r="BW71" s="526"/>
      <c r="BX71" s="526"/>
      <c r="BY71" s="526"/>
      <c r="BZ71" s="526"/>
      <c r="CA71" s="526"/>
      <c r="CB71" s="526"/>
      <c r="CC71" s="526"/>
      <c r="CD71" s="526"/>
      <c r="CE71" s="526"/>
      <c r="CF71" s="526"/>
      <c r="CG71" s="526"/>
      <c r="CH71" s="526"/>
      <c r="CI71" s="526"/>
      <c r="CJ71" s="526"/>
      <c r="CK71" s="526"/>
      <c r="CL71" s="526"/>
      <c r="CM71" s="526"/>
    </row>
    <row r="72" spans="1:91" s="197" customFormat="1" ht="21" thickBot="1">
      <c r="A72" s="188"/>
      <c r="B72" s="276" t="s">
        <v>1038</v>
      </c>
      <c r="C72" s="199" t="s">
        <v>1007</v>
      </c>
      <c r="D72" s="199"/>
      <c r="E72" s="199"/>
      <c r="F72" s="200">
        <v>2</v>
      </c>
      <c r="G72" s="190"/>
      <c r="H72" s="555"/>
      <c r="I72" s="550"/>
      <c r="J72" s="550"/>
      <c r="K72" s="550"/>
      <c r="L72" s="551"/>
      <c r="M72" s="551"/>
      <c r="N72" s="551"/>
      <c r="O72" s="551"/>
      <c r="P72" s="551"/>
      <c r="Q72" s="552"/>
      <c r="R72" s="552"/>
      <c r="S72" s="552"/>
      <c r="T72" s="552"/>
      <c r="U72" s="527"/>
      <c r="V72" s="527"/>
      <c r="W72" s="527"/>
      <c r="X72" s="527"/>
      <c r="Y72" s="526"/>
      <c r="Z72" s="526"/>
      <c r="AA72" s="526"/>
      <c r="AB72" s="526"/>
      <c r="AC72" s="526"/>
      <c r="AD72" s="526"/>
      <c r="AE72" s="526"/>
      <c r="AF72" s="526"/>
      <c r="AG72" s="526"/>
      <c r="AH72" s="526"/>
      <c r="AI72" s="526"/>
      <c r="AJ72" s="526"/>
      <c r="AK72" s="526"/>
      <c r="AL72" s="526"/>
      <c r="AM72" s="526"/>
      <c r="AN72" s="526"/>
      <c r="AO72" s="526"/>
      <c r="AP72" s="526"/>
      <c r="AQ72" s="526"/>
      <c r="AR72" s="526"/>
      <c r="AS72" s="526"/>
      <c r="AT72" s="526"/>
      <c r="AU72" s="526"/>
      <c r="AV72" s="526"/>
      <c r="AW72" s="526"/>
      <c r="AX72" s="526"/>
      <c r="AY72" s="526"/>
      <c r="AZ72" s="526"/>
      <c r="BA72" s="526"/>
      <c r="BB72" s="526"/>
      <c r="BC72" s="526"/>
      <c r="BD72" s="526"/>
      <c r="BE72" s="526"/>
      <c r="BF72" s="526"/>
      <c r="BG72" s="526"/>
      <c r="BH72" s="526"/>
      <c r="BI72" s="526"/>
      <c r="BJ72" s="526"/>
      <c r="BK72" s="526"/>
      <c r="BL72" s="526"/>
      <c r="BM72" s="526"/>
      <c r="BN72" s="526"/>
      <c r="BO72" s="526"/>
      <c r="BP72" s="526"/>
      <c r="BQ72" s="526"/>
      <c r="BR72" s="526"/>
      <c r="BS72" s="526"/>
      <c r="BT72" s="526"/>
      <c r="BU72" s="526"/>
      <c r="BV72" s="526"/>
      <c r="BW72" s="526"/>
      <c r="BX72" s="526"/>
      <c r="BY72" s="526"/>
      <c r="BZ72" s="526"/>
      <c r="CA72" s="526"/>
      <c r="CB72" s="526"/>
      <c r="CC72" s="526"/>
      <c r="CD72" s="526"/>
      <c r="CE72" s="526"/>
      <c r="CF72" s="526"/>
      <c r="CG72" s="526"/>
      <c r="CH72" s="526"/>
      <c r="CI72" s="526"/>
      <c r="CJ72" s="526"/>
      <c r="CK72" s="526"/>
      <c r="CL72" s="526"/>
      <c r="CM72" s="526"/>
    </row>
    <row r="73" spans="1:91" s="197" customFormat="1" ht="16.5" thickBot="1">
      <c r="A73" s="188"/>
      <c r="B73" s="276"/>
      <c r="C73" s="199"/>
      <c r="D73" s="199"/>
      <c r="E73" s="199"/>
      <c r="F73" s="239"/>
      <c r="G73" s="190"/>
      <c r="H73" s="555"/>
      <c r="I73" s="550"/>
      <c r="J73" s="550"/>
      <c r="K73" s="550"/>
      <c r="L73" s="551"/>
      <c r="M73" s="551"/>
      <c r="N73" s="551"/>
      <c r="O73" s="551"/>
      <c r="P73" s="551"/>
      <c r="Q73" s="552"/>
      <c r="R73" s="552"/>
      <c r="S73" s="552"/>
      <c r="T73" s="552"/>
      <c r="U73" s="527"/>
      <c r="V73" s="527"/>
      <c r="W73" s="527"/>
      <c r="X73" s="527"/>
      <c r="Y73" s="526"/>
      <c r="Z73" s="526"/>
      <c r="AA73" s="526"/>
      <c r="AB73" s="526"/>
      <c r="AC73" s="526"/>
      <c r="AD73" s="526"/>
      <c r="AE73" s="526"/>
      <c r="AF73" s="526"/>
      <c r="AG73" s="526"/>
      <c r="AH73" s="526"/>
      <c r="AI73" s="526"/>
      <c r="AJ73" s="526"/>
      <c r="AK73" s="526"/>
      <c r="AL73" s="526"/>
      <c r="AM73" s="526"/>
      <c r="AN73" s="526"/>
      <c r="AO73" s="526"/>
      <c r="AP73" s="526"/>
      <c r="AQ73" s="526"/>
      <c r="AR73" s="526"/>
      <c r="AS73" s="526"/>
      <c r="AT73" s="526"/>
      <c r="AU73" s="526"/>
      <c r="AV73" s="526"/>
      <c r="AW73" s="526"/>
      <c r="AX73" s="526"/>
      <c r="AY73" s="526"/>
      <c r="AZ73" s="526"/>
      <c r="BA73" s="526"/>
      <c r="BB73" s="526"/>
      <c r="BC73" s="526"/>
      <c r="BD73" s="526"/>
      <c r="BE73" s="526"/>
      <c r="BF73" s="526"/>
      <c r="BG73" s="526"/>
      <c r="BH73" s="526"/>
      <c r="BI73" s="526"/>
      <c r="BJ73" s="526"/>
      <c r="BK73" s="526"/>
      <c r="BL73" s="526"/>
      <c r="BM73" s="526"/>
      <c r="BN73" s="526"/>
      <c r="BO73" s="526"/>
      <c r="BP73" s="526"/>
      <c r="BQ73" s="526"/>
      <c r="BR73" s="526"/>
      <c r="BS73" s="526"/>
      <c r="BT73" s="526"/>
      <c r="BU73" s="526"/>
      <c r="BV73" s="526"/>
      <c r="BW73" s="526"/>
      <c r="BX73" s="526"/>
      <c r="BY73" s="526"/>
      <c r="BZ73" s="526"/>
      <c r="CA73" s="526"/>
      <c r="CB73" s="526"/>
      <c r="CC73" s="526"/>
      <c r="CD73" s="526"/>
      <c r="CE73" s="526"/>
      <c r="CF73" s="526"/>
      <c r="CG73" s="526"/>
      <c r="CH73" s="526"/>
      <c r="CI73" s="526"/>
      <c r="CJ73" s="526"/>
      <c r="CK73" s="526"/>
      <c r="CL73" s="526"/>
      <c r="CM73" s="526"/>
    </row>
    <row r="74" spans="1:91" s="197" customFormat="1" ht="21" thickBot="1">
      <c r="A74" s="188"/>
      <c r="B74" s="276" t="s">
        <v>1039</v>
      </c>
      <c r="C74" s="199" t="s">
        <v>1042</v>
      </c>
      <c r="D74" s="199"/>
      <c r="E74" s="199"/>
      <c r="F74" s="200">
        <v>0</v>
      </c>
      <c r="G74" s="190"/>
      <c r="H74" s="555"/>
      <c r="I74" s="550"/>
      <c r="J74" s="550"/>
      <c r="K74" s="550"/>
      <c r="L74" s="551"/>
      <c r="M74" s="551"/>
      <c r="N74" s="551"/>
      <c r="O74" s="551"/>
      <c r="P74" s="551"/>
      <c r="Q74" s="552"/>
      <c r="R74" s="552"/>
      <c r="S74" s="552"/>
      <c r="T74" s="552"/>
      <c r="U74" s="527"/>
      <c r="V74" s="527"/>
      <c r="W74" s="527"/>
      <c r="X74" s="527"/>
      <c r="Y74" s="526"/>
      <c r="Z74" s="526"/>
      <c r="AA74" s="526"/>
      <c r="AB74" s="526"/>
      <c r="AC74" s="526"/>
      <c r="AD74" s="526"/>
      <c r="AE74" s="526"/>
      <c r="AF74" s="526"/>
      <c r="AG74" s="526"/>
      <c r="AH74" s="526"/>
      <c r="AI74" s="526"/>
      <c r="AJ74" s="526"/>
      <c r="AK74" s="526"/>
      <c r="AL74" s="526"/>
      <c r="AM74" s="526"/>
      <c r="AN74" s="526"/>
      <c r="AO74" s="526"/>
      <c r="AP74" s="526"/>
      <c r="AQ74" s="526"/>
      <c r="AR74" s="526"/>
      <c r="AS74" s="526"/>
      <c r="AT74" s="526"/>
      <c r="AU74" s="526"/>
      <c r="AV74" s="526"/>
      <c r="AW74" s="526"/>
      <c r="AX74" s="526"/>
      <c r="AY74" s="526"/>
      <c r="AZ74" s="526"/>
      <c r="BA74" s="526"/>
      <c r="BB74" s="526"/>
      <c r="BC74" s="526"/>
      <c r="BD74" s="526"/>
      <c r="BE74" s="526"/>
      <c r="BF74" s="526"/>
      <c r="BG74" s="526"/>
      <c r="BH74" s="526"/>
      <c r="BI74" s="526"/>
      <c r="BJ74" s="526"/>
      <c r="BK74" s="526"/>
      <c r="BL74" s="526"/>
      <c r="BM74" s="526"/>
      <c r="BN74" s="526"/>
      <c r="BO74" s="526"/>
      <c r="BP74" s="526"/>
      <c r="BQ74" s="526"/>
      <c r="BR74" s="526"/>
      <c r="BS74" s="526"/>
      <c r="BT74" s="526"/>
      <c r="BU74" s="526"/>
      <c r="BV74" s="526"/>
      <c r="BW74" s="526"/>
      <c r="BX74" s="526"/>
      <c r="BY74" s="526"/>
      <c r="BZ74" s="526"/>
      <c r="CA74" s="526"/>
      <c r="CB74" s="526"/>
      <c r="CC74" s="526"/>
      <c r="CD74" s="526"/>
      <c r="CE74" s="526"/>
      <c r="CF74" s="526"/>
      <c r="CG74" s="526"/>
      <c r="CH74" s="526"/>
      <c r="CI74" s="526"/>
      <c r="CJ74" s="526"/>
      <c r="CK74" s="526"/>
      <c r="CL74" s="526"/>
      <c r="CM74" s="526"/>
    </row>
    <row r="75" spans="1:91" s="197" customFormat="1" ht="16.5" thickBot="1">
      <c r="A75" s="188"/>
      <c r="B75" s="276"/>
      <c r="C75" s="199"/>
      <c r="D75" s="199"/>
      <c r="E75" s="199"/>
      <c r="F75" s="239"/>
      <c r="G75" s="190"/>
      <c r="H75" s="555"/>
      <c r="I75" s="550"/>
      <c r="J75" s="550"/>
      <c r="K75" s="550"/>
      <c r="L75" s="551"/>
      <c r="M75" s="551"/>
      <c r="N75" s="551"/>
      <c r="O75" s="551"/>
      <c r="P75" s="551"/>
      <c r="Q75" s="552"/>
      <c r="R75" s="552"/>
      <c r="S75" s="552"/>
      <c r="T75" s="552"/>
      <c r="U75" s="527"/>
      <c r="V75" s="527"/>
      <c r="W75" s="527"/>
      <c r="X75" s="527"/>
      <c r="Y75" s="526"/>
      <c r="Z75" s="526"/>
      <c r="AA75" s="526"/>
      <c r="AB75" s="526"/>
      <c r="AC75" s="526"/>
      <c r="AD75" s="526"/>
      <c r="AE75" s="526"/>
      <c r="AF75" s="526"/>
      <c r="AG75" s="526"/>
      <c r="AH75" s="526"/>
      <c r="AI75" s="526"/>
      <c r="AJ75" s="526"/>
      <c r="AK75" s="526"/>
      <c r="AL75" s="526"/>
      <c r="AM75" s="526"/>
      <c r="AN75" s="526"/>
      <c r="AO75" s="526"/>
      <c r="AP75" s="526"/>
      <c r="AQ75" s="526"/>
      <c r="AR75" s="526"/>
      <c r="AS75" s="526"/>
      <c r="AT75" s="526"/>
      <c r="AU75" s="526"/>
      <c r="AV75" s="526"/>
      <c r="AW75" s="526"/>
      <c r="AX75" s="526"/>
      <c r="AY75" s="526"/>
      <c r="AZ75" s="526"/>
      <c r="BA75" s="526"/>
      <c r="BB75" s="526"/>
      <c r="BC75" s="526"/>
      <c r="BD75" s="526"/>
      <c r="BE75" s="526"/>
      <c r="BF75" s="526"/>
      <c r="BG75" s="526"/>
      <c r="BH75" s="526"/>
      <c r="BI75" s="526"/>
      <c r="BJ75" s="526"/>
      <c r="BK75" s="526"/>
      <c r="BL75" s="526"/>
      <c r="BM75" s="526"/>
      <c r="BN75" s="526"/>
      <c r="BO75" s="526"/>
      <c r="BP75" s="526"/>
      <c r="BQ75" s="526"/>
      <c r="BR75" s="526"/>
      <c r="BS75" s="526"/>
      <c r="BT75" s="526"/>
      <c r="BU75" s="526"/>
      <c r="BV75" s="526"/>
      <c r="BW75" s="526"/>
      <c r="BX75" s="526"/>
      <c r="BY75" s="526"/>
      <c r="BZ75" s="526"/>
      <c r="CA75" s="526"/>
      <c r="CB75" s="526"/>
      <c r="CC75" s="526"/>
      <c r="CD75" s="526"/>
      <c r="CE75" s="526"/>
      <c r="CF75" s="526"/>
      <c r="CG75" s="526"/>
      <c r="CH75" s="526"/>
      <c r="CI75" s="526"/>
      <c r="CJ75" s="526"/>
      <c r="CK75" s="526"/>
      <c r="CL75" s="526"/>
      <c r="CM75" s="526"/>
    </row>
    <row r="76" spans="1:91" s="197" customFormat="1" ht="21" thickBot="1">
      <c r="A76" s="188"/>
      <c r="B76" s="276" t="s">
        <v>1043</v>
      </c>
      <c r="C76" s="199" t="s">
        <v>1044</v>
      </c>
      <c r="D76" s="199"/>
      <c r="E76" s="199"/>
      <c r="F76" s="200">
        <v>13</v>
      </c>
      <c r="G76" s="190"/>
      <c r="H76" s="555"/>
      <c r="I76" s="550"/>
      <c r="J76" s="550"/>
      <c r="K76" s="550"/>
      <c r="L76" s="551"/>
      <c r="M76" s="551"/>
      <c r="N76" s="551"/>
      <c r="O76" s="551"/>
      <c r="P76" s="551"/>
      <c r="Q76" s="552"/>
      <c r="R76" s="552"/>
      <c r="S76" s="552"/>
      <c r="T76" s="552"/>
      <c r="U76" s="527"/>
      <c r="V76" s="527"/>
      <c r="W76" s="527"/>
      <c r="X76" s="527"/>
      <c r="Y76" s="526"/>
      <c r="Z76" s="526"/>
      <c r="AA76" s="526"/>
      <c r="AB76" s="526"/>
      <c r="AC76" s="526"/>
      <c r="AD76" s="526"/>
      <c r="AE76" s="526"/>
      <c r="AF76" s="526"/>
      <c r="AG76" s="526"/>
      <c r="AH76" s="526"/>
      <c r="AI76" s="526"/>
      <c r="AJ76" s="526"/>
      <c r="AK76" s="526"/>
      <c r="AL76" s="526"/>
      <c r="AM76" s="526"/>
      <c r="AN76" s="526"/>
      <c r="AO76" s="526"/>
      <c r="AP76" s="526"/>
      <c r="AQ76" s="526"/>
      <c r="AR76" s="526"/>
      <c r="AS76" s="526"/>
      <c r="AT76" s="526"/>
      <c r="AU76" s="526"/>
      <c r="AV76" s="526"/>
      <c r="AW76" s="526"/>
      <c r="AX76" s="526"/>
      <c r="AY76" s="526"/>
      <c r="AZ76" s="526"/>
      <c r="BA76" s="526"/>
      <c r="BB76" s="526"/>
      <c r="BC76" s="526"/>
      <c r="BD76" s="526"/>
      <c r="BE76" s="526"/>
      <c r="BF76" s="526"/>
      <c r="BG76" s="526"/>
      <c r="BH76" s="526"/>
      <c r="BI76" s="526"/>
      <c r="BJ76" s="526"/>
      <c r="BK76" s="526"/>
      <c r="BL76" s="526"/>
      <c r="BM76" s="526"/>
      <c r="BN76" s="526"/>
      <c r="BO76" s="526"/>
      <c r="BP76" s="526"/>
      <c r="BQ76" s="526"/>
      <c r="BR76" s="526"/>
      <c r="BS76" s="526"/>
      <c r="BT76" s="526"/>
      <c r="BU76" s="526"/>
      <c r="BV76" s="526"/>
      <c r="BW76" s="526"/>
      <c r="BX76" s="526"/>
      <c r="BY76" s="526"/>
      <c r="BZ76" s="526"/>
      <c r="CA76" s="526"/>
      <c r="CB76" s="526"/>
      <c r="CC76" s="526"/>
      <c r="CD76" s="526"/>
      <c r="CE76" s="526"/>
      <c r="CF76" s="526"/>
      <c r="CG76" s="526"/>
      <c r="CH76" s="526"/>
      <c r="CI76" s="526"/>
      <c r="CJ76" s="526"/>
      <c r="CK76" s="526"/>
      <c r="CL76" s="526"/>
      <c r="CM76" s="526"/>
    </row>
    <row r="77" spans="1:91" s="197" customFormat="1" ht="16.5" thickBot="1">
      <c r="A77" s="188"/>
      <c r="B77" s="276"/>
      <c r="C77" s="199"/>
      <c r="D77" s="199"/>
      <c r="E77" s="199"/>
      <c r="F77" s="239"/>
      <c r="G77" s="190"/>
      <c r="H77" s="555"/>
      <c r="I77" s="550"/>
      <c r="J77" s="550"/>
      <c r="K77" s="550"/>
      <c r="L77" s="551"/>
      <c r="M77" s="551"/>
      <c r="N77" s="551"/>
      <c r="O77" s="551"/>
      <c r="P77" s="551"/>
      <c r="Q77" s="552"/>
      <c r="R77" s="552"/>
      <c r="S77" s="552"/>
      <c r="T77" s="552"/>
      <c r="U77" s="527"/>
      <c r="V77" s="527"/>
      <c r="W77" s="527"/>
      <c r="X77" s="527"/>
      <c r="Y77" s="526"/>
      <c r="Z77" s="526"/>
      <c r="AA77" s="526"/>
      <c r="AB77" s="526"/>
      <c r="AC77" s="526"/>
      <c r="AD77" s="526"/>
      <c r="AE77" s="526"/>
      <c r="AF77" s="526"/>
      <c r="AG77" s="526"/>
      <c r="AH77" s="526"/>
      <c r="AI77" s="526"/>
      <c r="AJ77" s="526"/>
      <c r="AK77" s="526"/>
      <c r="AL77" s="526"/>
      <c r="AM77" s="526"/>
      <c r="AN77" s="526"/>
      <c r="AO77" s="526"/>
      <c r="AP77" s="526"/>
      <c r="AQ77" s="526"/>
      <c r="AR77" s="526"/>
      <c r="AS77" s="526"/>
      <c r="AT77" s="526"/>
      <c r="AU77" s="526"/>
      <c r="AV77" s="526"/>
      <c r="AW77" s="526"/>
      <c r="AX77" s="526"/>
      <c r="AY77" s="526"/>
      <c r="AZ77" s="526"/>
      <c r="BA77" s="526"/>
      <c r="BB77" s="526"/>
      <c r="BC77" s="526"/>
      <c r="BD77" s="526"/>
      <c r="BE77" s="526"/>
      <c r="BF77" s="526"/>
      <c r="BG77" s="526"/>
      <c r="BH77" s="526"/>
      <c r="BI77" s="526"/>
      <c r="BJ77" s="526"/>
      <c r="BK77" s="526"/>
      <c r="BL77" s="526"/>
      <c r="BM77" s="526"/>
      <c r="BN77" s="526"/>
      <c r="BO77" s="526"/>
      <c r="BP77" s="526"/>
      <c r="BQ77" s="526"/>
      <c r="BR77" s="526"/>
      <c r="BS77" s="526"/>
      <c r="BT77" s="526"/>
      <c r="BU77" s="526"/>
      <c r="BV77" s="526"/>
      <c r="BW77" s="526"/>
      <c r="BX77" s="526"/>
      <c r="BY77" s="526"/>
      <c r="BZ77" s="526"/>
      <c r="CA77" s="526"/>
      <c r="CB77" s="526"/>
      <c r="CC77" s="526"/>
      <c r="CD77" s="526"/>
      <c r="CE77" s="526"/>
      <c r="CF77" s="526"/>
      <c r="CG77" s="526"/>
      <c r="CH77" s="526"/>
      <c r="CI77" s="526"/>
      <c r="CJ77" s="526"/>
      <c r="CK77" s="526"/>
      <c r="CL77" s="526"/>
      <c r="CM77" s="526"/>
    </row>
    <row r="78" spans="1:91" s="197" customFormat="1" ht="21" thickBot="1">
      <c r="A78" s="188"/>
      <c r="B78" s="276" t="s">
        <v>1045</v>
      </c>
      <c r="C78" s="738" t="s">
        <v>1008</v>
      </c>
      <c r="D78" s="738"/>
      <c r="E78" s="199"/>
      <c r="F78" s="200">
        <v>0</v>
      </c>
      <c r="G78" s="190"/>
      <c r="H78" s="555"/>
      <c r="I78" s="550"/>
      <c r="J78" s="550"/>
      <c r="K78" s="550"/>
      <c r="L78" s="551"/>
      <c r="M78" s="551"/>
      <c r="N78" s="551"/>
      <c r="O78" s="551"/>
      <c r="P78" s="551"/>
      <c r="Q78" s="552"/>
      <c r="R78" s="552"/>
      <c r="S78" s="552"/>
      <c r="T78" s="552"/>
      <c r="U78" s="527"/>
      <c r="V78" s="527"/>
      <c r="W78" s="527"/>
      <c r="X78" s="527"/>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6"/>
      <c r="AY78" s="526"/>
      <c r="AZ78" s="526"/>
      <c r="BA78" s="526"/>
      <c r="BB78" s="526"/>
      <c r="BC78" s="526"/>
      <c r="BD78" s="526"/>
      <c r="BE78" s="526"/>
      <c r="BF78" s="526"/>
      <c r="BG78" s="526"/>
      <c r="BH78" s="526"/>
      <c r="BI78" s="526"/>
      <c r="BJ78" s="526"/>
      <c r="BK78" s="526"/>
      <c r="BL78" s="526"/>
      <c r="BM78" s="526"/>
      <c r="BN78" s="526"/>
      <c r="BO78" s="526"/>
      <c r="BP78" s="526"/>
      <c r="BQ78" s="526"/>
      <c r="BR78" s="526"/>
      <c r="BS78" s="526"/>
      <c r="BT78" s="526"/>
      <c r="BU78" s="526"/>
      <c r="BV78" s="526"/>
      <c r="BW78" s="526"/>
      <c r="BX78" s="526"/>
      <c r="BY78" s="526"/>
      <c r="BZ78" s="526"/>
      <c r="CA78" s="526"/>
      <c r="CB78" s="526"/>
      <c r="CC78" s="526"/>
      <c r="CD78" s="526"/>
      <c r="CE78" s="526"/>
      <c r="CF78" s="526"/>
      <c r="CG78" s="526"/>
      <c r="CH78" s="526"/>
      <c r="CI78" s="526"/>
      <c r="CJ78" s="526"/>
      <c r="CK78" s="526"/>
      <c r="CL78" s="526"/>
      <c r="CM78" s="526"/>
    </row>
    <row r="79" spans="1:91" s="197" customFormat="1" ht="16.5" thickBot="1">
      <c r="A79" s="188"/>
      <c r="B79" s="276"/>
      <c r="C79" s="738"/>
      <c r="D79" s="738"/>
      <c r="E79" s="199"/>
      <c r="F79" s="239"/>
      <c r="G79" s="190"/>
      <c r="H79" s="555"/>
      <c r="I79" s="550"/>
      <c r="J79" s="550"/>
      <c r="K79" s="550"/>
      <c r="L79" s="551"/>
      <c r="M79" s="551"/>
      <c r="N79" s="551"/>
      <c r="O79" s="551"/>
      <c r="P79" s="551"/>
      <c r="Q79" s="552"/>
      <c r="R79" s="552"/>
      <c r="S79" s="552"/>
      <c r="T79" s="552"/>
      <c r="U79" s="527"/>
      <c r="V79" s="527"/>
      <c r="W79" s="527"/>
      <c r="X79" s="527"/>
      <c r="Y79" s="526"/>
      <c r="Z79" s="526"/>
      <c r="AA79" s="526"/>
      <c r="AB79" s="526"/>
      <c r="AC79" s="526"/>
      <c r="AD79" s="526"/>
      <c r="AE79" s="526"/>
      <c r="AF79" s="526"/>
      <c r="AG79" s="526"/>
      <c r="AH79" s="526"/>
      <c r="AI79" s="526"/>
      <c r="AJ79" s="526"/>
      <c r="AK79" s="526"/>
      <c r="AL79" s="526"/>
      <c r="AM79" s="526"/>
      <c r="AN79" s="526"/>
      <c r="AO79" s="526"/>
      <c r="AP79" s="526"/>
      <c r="AQ79" s="526"/>
      <c r="AR79" s="526"/>
      <c r="AS79" s="526"/>
      <c r="AT79" s="526"/>
      <c r="AU79" s="526"/>
      <c r="AV79" s="526"/>
      <c r="AW79" s="526"/>
      <c r="AX79" s="526"/>
      <c r="AY79" s="526"/>
      <c r="AZ79" s="526"/>
      <c r="BA79" s="526"/>
      <c r="BB79" s="526"/>
      <c r="BC79" s="526"/>
      <c r="BD79" s="526"/>
      <c r="BE79" s="526"/>
      <c r="BF79" s="526"/>
      <c r="BG79" s="526"/>
      <c r="BH79" s="526"/>
      <c r="BI79" s="526"/>
      <c r="BJ79" s="526"/>
      <c r="BK79" s="526"/>
      <c r="BL79" s="526"/>
      <c r="BM79" s="526"/>
      <c r="BN79" s="526"/>
      <c r="BO79" s="526"/>
      <c r="BP79" s="526"/>
      <c r="BQ79" s="526"/>
      <c r="BR79" s="526"/>
      <c r="BS79" s="526"/>
      <c r="BT79" s="526"/>
      <c r="BU79" s="526"/>
      <c r="BV79" s="526"/>
      <c r="BW79" s="526"/>
      <c r="BX79" s="526"/>
      <c r="BY79" s="526"/>
      <c r="BZ79" s="526"/>
      <c r="CA79" s="526"/>
      <c r="CB79" s="526"/>
      <c r="CC79" s="526"/>
      <c r="CD79" s="526"/>
      <c r="CE79" s="526"/>
      <c r="CF79" s="526"/>
      <c r="CG79" s="526"/>
      <c r="CH79" s="526"/>
      <c r="CI79" s="526"/>
      <c r="CJ79" s="526"/>
      <c r="CK79" s="526"/>
      <c r="CL79" s="526"/>
      <c r="CM79" s="526"/>
    </row>
    <row r="80" spans="1:91" s="197" customFormat="1" ht="21" thickBot="1">
      <c r="A80" s="188"/>
      <c r="B80" s="276" t="s">
        <v>1046</v>
      </c>
      <c r="C80" s="738" t="s">
        <v>1009</v>
      </c>
      <c r="D80" s="738"/>
      <c r="E80" s="199"/>
      <c r="F80" s="200">
        <v>189</v>
      </c>
      <c r="G80" s="190"/>
      <c r="H80" s="555"/>
      <c r="I80" s="550"/>
      <c r="J80" s="550"/>
      <c r="K80" s="550"/>
      <c r="L80" s="551"/>
      <c r="M80" s="551"/>
      <c r="N80" s="551"/>
      <c r="O80" s="551"/>
      <c r="P80" s="551"/>
      <c r="Q80" s="552"/>
      <c r="R80" s="552"/>
      <c r="S80" s="552"/>
      <c r="T80" s="552"/>
      <c r="U80" s="527"/>
      <c r="V80" s="527"/>
      <c r="W80" s="527"/>
      <c r="X80" s="527"/>
      <c r="Y80" s="526"/>
      <c r="Z80" s="526"/>
      <c r="AA80" s="526"/>
      <c r="AB80" s="526"/>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26"/>
      <c r="AY80" s="526"/>
      <c r="AZ80" s="526"/>
      <c r="BA80" s="526"/>
      <c r="BB80" s="526"/>
      <c r="BC80" s="526"/>
      <c r="BD80" s="526"/>
      <c r="BE80" s="526"/>
      <c r="BF80" s="526"/>
      <c r="BG80" s="526"/>
      <c r="BH80" s="526"/>
      <c r="BI80" s="526"/>
      <c r="BJ80" s="526"/>
      <c r="BK80" s="526"/>
      <c r="BL80" s="526"/>
      <c r="BM80" s="526"/>
      <c r="BN80" s="526"/>
      <c r="BO80" s="526"/>
      <c r="BP80" s="526"/>
      <c r="BQ80" s="526"/>
      <c r="BR80" s="526"/>
      <c r="BS80" s="526"/>
      <c r="BT80" s="526"/>
      <c r="BU80" s="526"/>
      <c r="BV80" s="526"/>
      <c r="BW80" s="526"/>
      <c r="BX80" s="526"/>
      <c r="BY80" s="526"/>
      <c r="BZ80" s="526"/>
      <c r="CA80" s="526"/>
      <c r="CB80" s="526"/>
      <c r="CC80" s="526"/>
      <c r="CD80" s="526"/>
      <c r="CE80" s="526"/>
      <c r="CF80" s="526"/>
      <c r="CG80" s="526"/>
      <c r="CH80" s="526"/>
      <c r="CI80" s="526"/>
      <c r="CJ80" s="526"/>
      <c r="CK80" s="526"/>
      <c r="CL80" s="526"/>
      <c r="CM80" s="526"/>
    </row>
    <row r="81" spans="1:91" s="197" customFormat="1" ht="15.75">
      <c r="A81" s="188"/>
      <c r="B81" s="276"/>
      <c r="C81" s="738"/>
      <c r="D81" s="738"/>
      <c r="E81" s="199"/>
      <c r="F81" s="240"/>
      <c r="G81" s="190"/>
      <c r="H81" s="555"/>
      <c r="I81" s="550"/>
      <c r="J81" s="550"/>
      <c r="K81" s="550"/>
      <c r="L81" s="551"/>
      <c r="M81" s="551"/>
      <c r="N81" s="551"/>
      <c r="O81" s="551"/>
      <c r="P81" s="551"/>
      <c r="Q81" s="552"/>
      <c r="R81" s="552"/>
      <c r="S81" s="552"/>
      <c r="T81" s="552"/>
      <c r="U81" s="527"/>
      <c r="V81" s="527"/>
      <c r="W81" s="527"/>
      <c r="X81" s="527"/>
      <c r="Y81" s="526"/>
      <c r="Z81" s="526"/>
      <c r="AA81" s="526"/>
      <c r="AB81" s="526"/>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26"/>
      <c r="AY81" s="526"/>
      <c r="AZ81" s="526"/>
      <c r="BA81" s="526"/>
      <c r="BB81" s="526"/>
      <c r="BC81" s="526"/>
      <c r="BD81" s="526"/>
      <c r="BE81" s="526"/>
      <c r="BF81" s="526"/>
      <c r="BG81" s="526"/>
      <c r="BH81" s="526"/>
      <c r="BI81" s="526"/>
      <c r="BJ81" s="526"/>
      <c r="BK81" s="526"/>
      <c r="BL81" s="526"/>
      <c r="BM81" s="526"/>
      <c r="BN81" s="526"/>
      <c r="BO81" s="526"/>
      <c r="BP81" s="526"/>
      <c r="BQ81" s="526"/>
      <c r="BR81" s="526"/>
      <c r="BS81" s="526"/>
      <c r="BT81" s="526"/>
      <c r="BU81" s="526"/>
      <c r="BV81" s="526"/>
      <c r="BW81" s="526"/>
      <c r="BX81" s="526"/>
      <c r="BY81" s="526"/>
      <c r="BZ81" s="526"/>
      <c r="CA81" s="526"/>
      <c r="CB81" s="526"/>
      <c r="CC81" s="526"/>
      <c r="CD81" s="526"/>
      <c r="CE81" s="526"/>
      <c r="CF81" s="526"/>
      <c r="CG81" s="526"/>
      <c r="CH81" s="526"/>
      <c r="CI81" s="526"/>
      <c r="CJ81" s="526"/>
      <c r="CK81" s="526"/>
      <c r="CL81" s="526"/>
      <c r="CM81" s="526"/>
    </row>
    <row r="82" spans="1:91" s="197" customFormat="1" ht="16.5" thickBot="1">
      <c r="A82" s="188"/>
      <c r="B82" s="276"/>
      <c r="C82" s="738"/>
      <c r="D82" s="738"/>
      <c r="E82" s="199"/>
      <c r="F82" s="241"/>
      <c r="G82" s="190"/>
      <c r="H82" s="555"/>
      <c r="I82" s="550"/>
      <c r="J82" s="550"/>
      <c r="K82" s="550"/>
      <c r="L82" s="551"/>
      <c r="M82" s="551"/>
      <c r="N82" s="551"/>
      <c r="O82" s="551"/>
      <c r="P82" s="551"/>
      <c r="Q82" s="552"/>
      <c r="R82" s="552"/>
      <c r="S82" s="552"/>
      <c r="T82" s="552"/>
      <c r="U82" s="527"/>
      <c r="V82" s="527"/>
      <c r="W82" s="527"/>
      <c r="X82" s="527"/>
      <c r="Y82" s="526"/>
      <c r="Z82" s="526"/>
      <c r="AA82" s="526"/>
      <c r="AB82" s="526"/>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6"/>
      <c r="AY82" s="526"/>
      <c r="AZ82" s="526"/>
      <c r="BA82" s="526"/>
      <c r="BB82" s="526"/>
      <c r="BC82" s="526"/>
      <c r="BD82" s="526"/>
      <c r="BE82" s="526"/>
      <c r="BF82" s="526"/>
      <c r="BG82" s="526"/>
      <c r="BH82" s="526"/>
      <c r="BI82" s="526"/>
      <c r="BJ82" s="526"/>
      <c r="BK82" s="526"/>
      <c r="BL82" s="526"/>
      <c r="BM82" s="526"/>
      <c r="BN82" s="526"/>
      <c r="BO82" s="526"/>
      <c r="BP82" s="526"/>
      <c r="BQ82" s="526"/>
      <c r="BR82" s="526"/>
      <c r="BS82" s="526"/>
      <c r="BT82" s="526"/>
      <c r="BU82" s="526"/>
      <c r="BV82" s="526"/>
      <c r="BW82" s="526"/>
      <c r="BX82" s="526"/>
      <c r="BY82" s="526"/>
      <c r="BZ82" s="526"/>
      <c r="CA82" s="526"/>
      <c r="CB82" s="526"/>
      <c r="CC82" s="526"/>
      <c r="CD82" s="526"/>
      <c r="CE82" s="526"/>
      <c r="CF82" s="526"/>
      <c r="CG82" s="526"/>
      <c r="CH82" s="526"/>
      <c r="CI82" s="526"/>
      <c r="CJ82" s="526"/>
      <c r="CK82" s="526"/>
      <c r="CL82" s="526"/>
      <c r="CM82" s="526"/>
    </row>
    <row r="83" spans="1:91" s="197" customFormat="1" ht="21" thickBot="1">
      <c r="A83" s="188"/>
      <c r="B83" s="276" t="s">
        <v>1047</v>
      </c>
      <c r="C83" s="199" t="s">
        <v>1048</v>
      </c>
      <c r="D83" s="199"/>
      <c r="E83" s="199"/>
      <c r="F83" s="200">
        <v>152</v>
      </c>
      <c r="G83" s="190"/>
      <c r="H83" s="555"/>
      <c r="I83" s="550"/>
      <c r="J83" s="550"/>
      <c r="K83" s="550"/>
      <c r="L83" s="551"/>
      <c r="M83" s="551"/>
      <c r="N83" s="551"/>
      <c r="O83" s="551"/>
      <c r="P83" s="551"/>
      <c r="Q83" s="552"/>
      <c r="R83" s="552"/>
      <c r="S83" s="552"/>
      <c r="T83" s="552"/>
      <c r="U83" s="527"/>
      <c r="V83" s="527"/>
      <c r="W83" s="527"/>
      <c r="X83" s="527"/>
      <c r="Y83" s="526"/>
      <c r="Z83" s="526"/>
      <c r="AA83" s="526"/>
      <c r="AB83" s="526"/>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6"/>
      <c r="AY83" s="526"/>
      <c r="AZ83" s="526"/>
      <c r="BA83" s="526"/>
      <c r="BB83" s="526"/>
      <c r="BC83" s="526"/>
      <c r="BD83" s="526"/>
      <c r="BE83" s="526"/>
      <c r="BF83" s="526"/>
      <c r="BG83" s="526"/>
      <c r="BH83" s="526"/>
      <c r="BI83" s="526"/>
      <c r="BJ83" s="526"/>
      <c r="BK83" s="526"/>
      <c r="BL83" s="526"/>
      <c r="BM83" s="526"/>
      <c r="BN83" s="526"/>
      <c r="BO83" s="526"/>
      <c r="BP83" s="526"/>
      <c r="BQ83" s="526"/>
      <c r="BR83" s="526"/>
      <c r="BS83" s="526"/>
      <c r="BT83" s="526"/>
      <c r="BU83" s="526"/>
      <c r="BV83" s="526"/>
      <c r="BW83" s="526"/>
      <c r="BX83" s="526"/>
      <c r="BY83" s="526"/>
      <c r="BZ83" s="526"/>
      <c r="CA83" s="526"/>
      <c r="CB83" s="526"/>
      <c r="CC83" s="526"/>
      <c r="CD83" s="526"/>
      <c r="CE83" s="526"/>
      <c r="CF83" s="526"/>
      <c r="CG83" s="526"/>
      <c r="CH83" s="526"/>
      <c r="CI83" s="526"/>
      <c r="CJ83" s="526"/>
      <c r="CK83" s="526"/>
      <c r="CL83" s="526"/>
      <c r="CM83" s="526"/>
    </row>
    <row r="84" spans="1:91" s="197" customFormat="1" ht="16.5" thickBot="1">
      <c r="A84" s="188"/>
      <c r="B84" s="276"/>
      <c r="C84" s="199"/>
      <c r="D84" s="199"/>
      <c r="E84" s="199"/>
      <c r="F84" s="239"/>
      <c r="G84" s="190"/>
      <c r="H84" s="555"/>
      <c r="I84" s="550"/>
      <c r="J84" s="550"/>
      <c r="K84" s="550"/>
      <c r="L84" s="551"/>
      <c r="M84" s="551"/>
      <c r="N84" s="551"/>
      <c r="O84" s="551"/>
      <c r="P84" s="551"/>
      <c r="Q84" s="552"/>
      <c r="R84" s="552"/>
      <c r="S84" s="552"/>
      <c r="T84" s="552"/>
      <c r="U84" s="527"/>
      <c r="V84" s="527"/>
      <c r="W84" s="527"/>
      <c r="X84" s="527"/>
      <c r="Y84" s="526"/>
      <c r="Z84" s="526"/>
      <c r="AA84" s="526"/>
      <c r="AB84" s="526"/>
      <c r="AC84" s="526"/>
      <c r="AD84" s="526"/>
      <c r="AE84" s="526"/>
      <c r="AF84" s="526"/>
      <c r="AG84" s="526"/>
      <c r="AH84" s="526"/>
      <c r="AI84" s="526"/>
      <c r="AJ84" s="526"/>
      <c r="AK84" s="526"/>
      <c r="AL84" s="526"/>
      <c r="AM84" s="526"/>
      <c r="AN84" s="526"/>
      <c r="AO84" s="526"/>
      <c r="AP84" s="526"/>
      <c r="AQ84" s="526"/>
      <c r="AR84" s="526"/>
      <c r="AS84" s="526"/>
      <c r="AT84" s="526"/>
      <c r="AU84" s="526"/>
      <c r="AV84" s="526"/>
      <c r="AW84" s="526"/>
      <c r="AX84" s="526"/>
      <c r="AY84" s="526"/>
      <c r="AZ84" s="526"/>
      <c r="BA84" s="526"/>
      <c r="BB84" s="526"/>
      <c r="BC84" s="526"/>
      <c r="BD84" s="526"/>
      <c r="BE84" s="526"/>
      <c r="BF84" s="526"/>
      <c r="BG84" s="526"/>
      <c r="BH84" s="526"/>
      <c r="BI84" s="526"/>
      <c r="BJ84" s="526"/>
      <c r="BK84" s="526"/>
      <c r="BL84" s="526"/>
      <c r="BM84" s="526"/>
      <c r="BN84" s="526"/>
      <c r="BO84" s="526"/>
      <c r="BP84" s="526"/>
      <c r="BQ84" s="526"/>
      <c r="BR84" s="526"/>
      <c r="BS84" s="526"/>
      <c r="BT84" s="526"/>
      <c r="BU84" s="526"/>
      <c r="BV84" s="526"/>
      <c r="BW84" s="526"/>
      <c r="BX84" s="526"/>
      <c r="BY84" s="526"/>
      <c r="BZ84" s="526"/>
      <c r="CA84" s="526"/>
      <c r="CB84" s="526"/>
      <c r="CC84" s="526"/>
      <c r="CD84" s="526"/>
      <c r="CE84" s="526"/>
      <c r="CF84" s="526"/>
      <c r="CG84" s="526"/>
      <c r="CH84" s="526"/>
      <c r="CI84" s="526"/>
      <c r="CJ84" s="526"/>
      <c r="CK84" s="526"/>
      <c r="CL84" s="526"/>
      <c r="CM84" s="526"/>
    </row>
    <row r="85" spans="1:91" s="197" customFormat="1" ht="21" thickBot="1">
      <c r="A85" s="188"/>
      <c r="B85" s="276" t="s">
        <v>1049</v>
      </c>
      <c r="C85" s="738" t="s">
        <v>99</v>
      </c>
      <c r="D85" s="738"/>
      <c r="E85" s="199"/>
      <c r="F85" s="200">
        <v>1</v>
      </c>
      <c r="G85" s="190"/>
      <c r="H85" s="555"/>
      <c r="I85" s="550"/>
      <c r="J85" s="550"/>
      <c r="K85" s="550"/>
      <c r="L85" s="551"/>
      <c r="M85" s="551"/>
      <c r="N85" s="551"/>
      <c r="O85" s="551"/>
      <c r="P85" s="551"/>
      <c r="Q85" s="552"/>
      <c r="R85" s="552"/>
      <c r="S85" s="552"/>
      <c r="T85" s="552"/>
      <c r="U85" s="527"/>
      <c r="V85" s="527"/>
      <c r="W85" s="527"/>
      <c r="X85" s="527"/>
      <c r="Y85" s="526"/>
      <c r="Z85" s="526"/>
      <c r="AA85" s="526"/>
      <c r="AB85" s="526"/>
      <c r="AC85" s="526"/>
      <c r="AD85" s="526"/>
      <c r="AE85" s="526"/>
      <c r="AF85" s="526"/>
      <c r="AG85" s="526"/>
      <c r="AH85" s="526"/>
      <c r="AI85" s="526"/>
      <c r="AJ85" s="526"/>
      <c r="AK85" s="526"/>
      <c r="AL85" s="526"/>
      <c r="AM85" s="526"/>
      <c r="AN85" s="526"/>
      <c r="AO85" s="526"/>
      <c r="AP85" s="526"/>
      <c r="AQ85" s="526"/>
      <c r="AR85" s="526"/>
      <c r="AS85" s="526"/>
      <c r="AT85" s="526"/>
      <c r="AU85" s="526"/>
      <c r="AV85" s="526"/>
      <c r="AW85" s="526"/>
      <c r="AX85" s="526"/>
      <c r="AY85" s="526"/>
      <c r="AZ85" s="526"/>
      <c r="BA85" s="526"/>
      <c r="BB85" s="526"/>
      <c r="BC85" s="526"/>
      <c r="BD85" s="526"/>
      <c r="BE85" s="526"/>
      <c r="BF85" s="526"/>
      <c r="BG85" s="526"/>
      <c r="BH85" s="526"/>
      <c r="BI85" s="526"/>
      <c r="BJ85" s="526"/>
      <c r="BK85" s="526"/>
      <c r="BL85" s="526"/>
      <c r="BM85" s="526"/>
      <c r="BN85" s="526"/>
      <c r="BO85" s="526"/>
      <c r="BP85" s="526"/>
      <c r="BQ85" s="526"/>
      <c r="BR85" s="526"/>
      <c r="BS85" s="526"/>
      <c r="BT85" s="526"/>
      <c r="BU85" s="526"/>
      <c r="BV85" s="526"/>
      <c r="BW85" s="526"/>
      <c r="BX85" s="526"/>
      <c r="BY85" s="526"/>
      <c r="BZ85" s="526"/>
      <c r="CA85" s="526"/>
      <c r="CB85" s="526"/>
      <c r="CC85" s="526"/>
      <c r="CD85" s="526"/>
      <c r="CE85" s="526"/>
      <c r="CF85" s="526"/>
      <c r="CG85" s="526"/>
      <c r="CH85" s="526"/>
      <c r="CI85" s="526"/>
      <c r="CJ85" s="526"/>
      <c r="CK85" s="526"/>
      <c r="CL85" s="526"/>
      <c r="CM85" s="526"/>
    </row>
    <row r="86" spans="1:91" s="197" customFormat="1" ht="15">
      <c r="A86" s="188"/>
      <c r="B86" s="199"/>
      <c r="C86" s="738"/>
      <c r="D86" s="738"/>
      <c r="E86" s="199"/>
      <c r="F86" s="242"/>
      <c r="G86" s="190"/>
      <c r="H86" s="555"/>
      <c r="I86" s="550"/>
      <c r="J86" s="550"/>
      <c r="K86" s="550"/>
      <c r="L86" s="551"/>
      <c r="M86" s="551"/>
      <c r="N86" s="551"/>
      <c r="O86" s="551"/>
      <c r="P86" s="551"/>
      <c r="Q86" s="552"/>
      <c r="R86" s="552"/>
      <c r="S86" s="552"/>
      <c r="T86" s="552"/>
      <c r="U86" s="527"/>
      <c r="V86" s="527"/>
      <c r="W86" s="527"/>
      <c r="X86" s="527"/>
      <c r="Y86" s="526"/>
      <c r="Z86" s="526"/>
      <c r="AA86" s="526"/>
      <c r="AB86" s="526"/>
      <c r="AC86" s="526"/>
      <c r="AD86" s="526"/>
      <c r="AE86" s="526"/>
      <c r="AF86" s="526"/>
      <c r="AG86" s="526"/>
      <c r="AH86" s="526"/>
      <c r="AI86" s="526"/>
      <c r="AJ86" s="526"/>
      <c r="AK86" s="526"/>
      <c r="AL86" s="526"/>
      <c r="AM86" s="526"/>
      <c r="AN86" s="526"/>
      <c r="AO86" s="526"/>
      <c r="AP86" s="526"/>
      <c r="AQ86" s="526"/>
      <c r="AR86" s="526"/>
      <c r="AS86" s="526"/>
      <c r="AT86" s="526"/>
      <c r="AU86" s="526"/>
      <c r="AV86" s="526"/>
      <c r="AW86" s="526"/>
      <c r="AX86" s="526"/>
      <c r="AY86" s="526"/>
      <c r="AZ86" s="526"/>
      <c r="BA86" s="526"/>
      <c r="BB86" s="526"/>
      <c r="BC86" s="526"/>
      <c r="BD86" s="526"/>
      <c r="BE86" s="526"/>
      <c r="BF86" s="526"/>
      <c r="BG86" s="526"/>
      <c r="BH86" s="526"/>
      <c r="BI86" s="526"/>
      <c r="BJ86" s="526"/>
      <c r="BK86" s="526"/>
      <c r="BL86" s="526"/>
      <c r="BM86" s="526"/>
      <c r="BN86" s="526"/>
      <c r="BO86" s="526"/>
      <c r="BP86" s="526"/>
      <c r="BQ86" s="526"/>
      <c r="BR86" s="526"/>
      <c r="BS86" s="526"/>
      <c r="BT86" s="526"/>
      <c r="BU86" s="526"/>
      <c r="BV86" s="526"/>
      <c r="BW86" s="526"/>
      <c r="BX86" s="526"/>
      <c r="BY86" s="526"/>
      <c r="BZ86" s="526"/>
      <c r="CA86" s="526"/>
      <c r="CB86" s="526"/>
      <c r="CC86" s="526"/>
      <c r="CD86" s="526"/>
      <c r="CE86" s="526"/>
      <c r="CF86" s="526"/>
      <c r="CG86" s="526"/>
      <c r="CH86" s="526"/>
      <c r="CI86" s="526"/>
      <c r="CJ86" s="526"/>
      <c r="CK86" s="526"/>
      <c r="CL86" s="526"/>
      <c r="CM86" s="526"/>
    </row>
    <row r="87" spans="1:91" s="197" customFormat="1" ht="15.75" thickBot="1">
      <c r="A87" s="188"/>
      <c r="B87" s="199"/>
      <c r="C87" s="199"/>
      <c r="D87" s="199"/>
      <c r="E87" s="199"/>
      <c r="F87" s="506"/>
      <c r="G87" s="190"/>
      <c r="H87" s="555"/>
      <c r="I87" s="556" t="s">
        <v>568</v>
      </c>
      <c r="J87" s="554"/>
      <c r="K87" s="556" t="s">
        <v>569</v>
      </c>
      <c r="L87" s="557" t="s">
        <v>570</v>
      </c>
      <c r="M87" s="551"/>
      <c r="N87" s="551"/>
      <c r="O87" s="551"/>
      <c r="P87" s="551"/>
      <c r="Q87" s="552"/>
      <c r="R87" s="552"/>
      <c r="S87" s="552"/>
      <c r="T87" s="552"/>
      <c r="U87" s="527"/>
      <c r="V87" s="527"/>
      <c r="W87" s="527"/>
      <c r="X87" s="527"/>
      <c r="Y87" s="526"/>
      <c r="Z87" s="526"/>
      <c r="AA87" s="526"/>
      <c r="AB87" s="526"/>
      <c r="AC87" s="526"/>
      <c r="AD87" s="526"/>
      <c r="AE87" s="526"/>
      <c r="AF87" s="526"/>
      <c r="AG87" s="526"/>
      <c r="AH87" s="526"/>
      <c r="AI87" s="526"/>
      <c r="AJ87" s="526"/>
      <c r="AK87" s="526"/>
      <c r="AL87" s="526"/>
      <c r="AM87" s="526"/>
      <c r="AN87" s="526"/>
      <c r="AO87" s="526"/>
      <c r="AP87" s="526"/>
      <c r="AQ87" s="526"/>
      <c r="AR87" s="526"/>
      <c r="AS87" s="526"/>
      <c r="AT87" s="526"/>
      <c r="AU87" s="526"/>
      <c r="AV87" s="526"/>
      <c r="AW87" s="526"/>
      <c r="AX87" s="526"/>
      <c r="AY87" s="526"/>
      <c r="AZ87" s="526"/>
      <c r="BA87" s="526"/>
      <c r="BB87" s="526"/>
      <c r="BC87" s="526"/>
      <c r="BD87" s="526"/>
      <c r="BE87" s="526"/>
      <c r="BF87" s="526"/>
      <c r="BG87" s="526"/>
      <c r="BH87" s="526"/>
      <c r="BI87" s="526"/>
      <c r="BJ87" s="526"/>
      <c r="BK87" s="526"/>
      <c r="BL87" s="526"/>
      <c r="BM87" s="526"/>
      <c r="BN87" s="526"/>
      <c r="BO87" s="526"/>
      <c r="BP87" s="526"/>
      <c r="BQ87" s="526"/>
      <c r="BR87" s="526"/>
      <c r="BS87" s="526"/>
      <c r="BT87" s="526"/>
      <c r="BU87" s="526"/>
      <c r="BV87" s="526"/>
      <c r="BW87" s="526"/>
      <c r="BX87" s="526"/>
      <c r="BY87" s="526"/>
      <c r="BZ87" s="526"/>
      <c r="CA87" s="526"/>
      <c r="CB87" s="526"/>
      <c r="CC87" s="526"/>
      <c r="CD87" s="526"/>
      <c r="CE87" s="526"/>
      <c r="CF87" s="526"/>
      <c r="CG87" s="526"/>
      <c r="CH87" s="526"/>
      <c r="CI87" s="526"/>
      <c r="CJ87" s="526"/>
      <c r="CK87" s="526"/>
      <c r="CL87" s="526"/>
      <c r="CM87" s="526"/>
    </row>
    <row r="88" spans="1:91" s="197" customFormat="1" ht="21" thickBot="1">
      <c r="A88" s="188"/>
      <c r="B88" s="198" t="s">
        <v>1050</v>
      </c>
      <c r="C88" s="277" t="s">
        <v>9</v>
      </c>
      <c r="D88" s="199"/>
      <c r="E88" s="199"/>
      <c r="F88" s="523">
        <f>SUM(F85,F83,F80,F78,F76,F74,F72,F70,F68,F66,F64,F62,F60,F58,F56,F54,F52,F50,F48,F46,F44,F42,F40)</f>
        <v>3379</v>
      </c>
      <c r="G88" s="190"/>
      <c r="H88" s="555"/>
      <c r="I88" s="554">
        <f>IF(F88=L88,0,IF(AND(F88&gt;0,K88=1),2,1))</f>
        <v>0</v>
      </c>
      <c r="J88" s="550"/>
      <c r="K88" s="554">
        <f>IF(AND(NOT(ISNUMBER('CTB Form'!E28)),NOT(ISNUMBER('CTB Form'!F28)),NOT(ISNUMBER('CTB Form'!G28)),NOT(ISNUMBER('CTB Form'!H28)),NOT(ISNUMBER('CTB Form'!I28)),NOT(ISNUMBER('CTB Form'!J28)),NOT(ISNUMBER('CTB Form'!K28)),NOT(ISNUMBER('CTB Form'!L28))),0,1)</f>
        <v>1</v>
      </c>
      <c r="L88" s="558">
        <f>'CTB Form'!M28</f>
        <v>3379</v>
      </c>
      <c r="M88" s="551"/>
      <c r="N88" s="551"/>
      <c r="O88" s="551"/>
      <c r="P88" s="551"/>
      <c r="Q88" s="552"/>
      <c r="R88" s="552"/>
      <c r="S88" s="552"/>
      <c r="T88" s="552"/>
      <c r="U88" s="527"/>
      <c r="V88" s="527"/>
      <c r="W88" s="527"/>
      <c r="X88" s="527"/>
      <c r="Y88" s="526"/>
      <c r="Z88" s="526"/>
      <c r="AA88" s="526"/>
      <c r="AB88" s="526"/>
      <c r="AC88" s="526"/>
      <c r="AD88" s="526"/>
      <c r="AE88" s="526"/>
      <c r="AF88" s="526"/>
      <c r="AG88" s="526"/>
      <c r="AH88" s="526"/>
      <c r="AI88" s="526"/>
      <c r="AJ88" s="526"/>
      <c r="AK88" s="526"/>
      <c r="AL88" s="526"/>
      <c r="AM88" s="526"/>
      <c r="AN88" s="526"/>
      <c r="AO88" s="526"/>
      <c r="AP88" s="526"/>
      <c r="AQ88" s="526"/>
      <c r="AR88" s="526"/>
      <c r="AS88" s="526"/>
      <c r="AT88" s="526"/>
      <c r="AU88" s="526"/>
      <c r="AV88" s="526"/>
      <c r="AW88" s="526"/>
      <c r="AX88" s="526"/>
      <c r="AY88" s="526"/>
      <c r="AZ88" s="526"/>
      <c r="BA88" s="526"/>
      <c r="BB88" s="526"/>
      <c r="BC88" s="526"/>
      <c r="BD88" s="526"/>
      <c r="BE88" s="526"/>
      <c r="BF88" s="526"/>
      <c r="BG88" s="526"/>
      <c r="BH88" s="526"/>
      <c r="BI88" s="526"/>
      <c r="BJ88" s="526"/>
      <c r="BK88" s="526"/>
      <c r="BL88" s="526"/>
      <c r="BM88" s="526"/>
      <c r="BN88" s="526"/>
      <c r="BO88" s="526"/>
      <c r="BP88" s="526"/>
      <c r="BQ88" s="526"/>
      <c r="BR88" s="526"/>
      <c r="BS88" s="526"/>
      <c r="BT88" s="526"/>
      <c r="BU88" s="526"/>
      <c r="BV88" s="526"/>
      <c r="BW88" s="526"/>
      <c r="BX88" s="526"/>
      <c r="BY88" s="526"/>
      <c r="BZ88" s="526"/>
      <c r="CA88" s="526"/>
      <c r="CB88" s="526"/>
      <c r="CC88" s="526"/>
      <c r="CD88" s="526"/>
      <c r="CE88" s="526"/>
      <c r="CF88" s="526"/>
      <c r="CG88" s="526"/>
      <c r="CH88" s="526"/>
      <c r="CI88" s="526"/>
      <c r="CJ88" s="526"/>
      <c r="CK88" s="526"/>
      <c r="CL88" s="526"/>
      <c r="CM88" s="526"/>
    </row>
    <row r="89" spans="1:91" s="197" customFormat="1" ht="16.5" thickBot="1">
      <c r="A89" s="192"/>
      <c r="B89" s="251"/>
      <c r="C89" s="201"/>
      <c r="D89" s="201"/>
      <c r="E89" s="201"/>
      <c r="F89" s="505" t="str">
        <f>IF(AND(F88&lt;&gt;L88,L88&gt;0),"According to line 2 of the main CTB form the total number of exempt dwellings (class A - W) is equal to "&amp;L88,IF(AND(F88&lt;&gt;L88,K88=0),"Line 2 of the main CTB form is not complete"," "))</f>
        <v> </v>
      </c>
      <c r="G89" s="194"/>
      <c r="H89" s="555"/>
      <c r="I89" s="550"/>
      <c r="J89" s="550"/>
      <c r="K89" s="550"/>
      <c r="L89" s="551"/>
      <c r="M89" s="551"/>
      <c r="N89" s="551"/>
      <c r="O89" s="551"/>
      <c r="P89" s="551"/>
      <c r="Q89" s="552"/>
      <c r="R89" s="552"/>
      <c r="S89" s="552"/>
      <c r="T89" s="552"/>
      <c r="U89" s="527"/>
      <c r="V89" s="527"/>
      <c r="W89" s="527"/>
      <c r="X89" s="527"/>
      <c r="Y89" s="526"/>
      <c r="Z89" s="526"/>
      <c r="AA89" s="526"/>
      <c r="AB89" s="526"/>
      <c r="AC89" s="526"/>
      <c r="AD89" s="526"/>
      <c r="AE89" s="526"/>
      <c r="AF89" s="526"/>
      <c r="AG89" s="526"/>
      <c r="AH89" s="526"/>
      <c r="AI89" s="526"/>
      <c r="AJ89" s="526"/>
      <c r="AK89" s="526"/>
      <c r="AL89" s="526"/>
      <c r="AM89" s="526"/>
      <c r="AN89" s="526"/>
      <c r="AO89" s="526"/>
      <c r="AP89" s="526"/>
      <c r="AQ89" s="526"/>
      <c r="AR89" s="526"/>
      <c r="AS89" s="526"/>
      <c r="AT89" s="526"/>
      <c r="AU89" s="526"/>
      <c r="AV89" s="526"/>
      <c r="AW89" s="526"/>
      <c r="AX89" s="526"/>
      <c r="AY89" s="526"/>
      <c r="AZ89" s="526"/>
      <c r="BA89" s="526"/>
      <c r="BB89" s="526"/>
      <c r="BC89" s="526"/>
      <c r="BD89" s="526"/>
      <c r="BE89" s="526"/>
      <c r="BF89" s="526"/>
      <c r="BG89" s="526"/>
      <c r="BH89" s="526"/>
      <c r="BI89" s="526"/>
      <c r="BJ89" s="526"/>
      <c r="BK89" s="526"/>
      <c r="BL89" s="526"/>
      <c r="BM89" s="526"/>
      <c r="BN89" s="526"/>
      <c r="BO89" s="526"/>
      <c r="BP89" s="526"/>
      <c r="BQ89" s="526"/>
      <c r="BR89" s="526"/>
      <c r="BS89" s="526"/>
      <c r="BT89" s="526"/>
      <c r="BU89" s="526"/>
      <c r="BV89" s="526"/>
      <c r="BW89" s="526"/>
      <c r="BX89" s="526"/>
      <c r="BY89" s="526"/>
      <c r="BZ89" s="526"/>
      <c r="CA89" s="526"/>
      <c r="CB89" s="526"/>
      <c r="CC89" s="526"/>
      <c r="CD89" s="526"/>
      <c r="CE89" s="526"/>
      <c r="CF89" s="526"/>
      <c r="CG89" s="526"/>
      <c r="CH89" s="526"/>
      <c r="CI89" s="526"/>
      <c r="CJ89" s="526"/>
      <c r="CK89" s="526"/>
      <c r="CL89" s="526"/>
      <c r="CM89" s="526"/>
    </row>
    <row r="90" spans="1:91" s="197" customFormat="1" ht="15.75">
      <c r="A90" s="245"/>
      <c r="B90" s="275"/>
      <c r="C90" s="211"/>
      <c r="D90" s="211"/>
      <c r="E90" s="211"/>
      <c r="F90" s="211"/>
      <c r="G90" s="187"/>
      <c r="H90" s="555"/>
      <c r="I90" s="550"/>
      <c r="J90" s="550"/>
      <c r="K90" s="550"/>
      <c r="L90" s="551"/>
      <c r="M90" s="551"/>
      <c r="N90" s="551"/>
      <c r="O90" s="551"/>
      <c r="P90" s="551"/>
      <c r="Q90" s="552"/>
      <c r="R90" s="552"/>
      <c r="S90" s="552"/>
      <c r="T90" s="552"/>
      <c r="U90" s="527"/>
      <c r="V90" s="527"/>
      <c r="W90" s="527"/>
      <c r="X90" s="527"/>
      <c r="Y90" s="526"/>
      <c r="Z90" s="526"/>
      <c r="AA90" s="526"/>
      <c r="AB90" s="526"/>
      <c r="AC90" s="526"/>
      <c r="AD90" s="526"/>
      <c r="AE90" s="526"/>
      <c r="AF90" s="526"/>
      <c r="AG90" s="526"/>
      <c r="AH90" s="526"/>
      <c r="AI90" s="526"/>
      <c r="AJ90" s="526"/>
      <c r="AK90" s="526"/>
      <c r="AL90" s="526"/>
      <c r="AM90" s="526"/>
      <c r="AN90" s="526"/>
      <c r="AO90" s="526"/>
      <c r="AP90" s="526"/>
      <c r="AQ90" s="526"/>
      <c r="AR90" s="526"/>
      <c r="AS90" s="526"/>
      <c r="AT90" s="526"/>
      <c r="AU90" s="526"/>
      <c r="AV90" s="526"/>
      <c r="AW90" s="526"/>
      <c r="AX90" s="526"/>
      <c r="AY90" s="526"/>
      <c r="AZ90" s="526"/>
      <c r="BA90" s="526"/>
      <c r="BB90" s="526"/>
      <c r="BC90" s="526"/>
      <c r="BD90" s="526"/>
      <c r="BE90" s="526"/>
      <c r="BF90" s="526"/>
      <c r="BG90" s="526"/>
      <c r="BH90" s="526"/>
      <c r="BI90" s="526"/>
      <c r="BJ90" s="526"/>
      <c r="BK90" s="526"/>
      <c r="BL90" s="526"/>
      <c r="BM90" s="526"/>
      <c r="BN90" s="526"/>
      <c r="BO90" s="526"/>
      <c r="BP90" s="526"/>
      <c r="BQ90" s="526"/>
      <c r="BR90" s="526"/>
      <c r="BS90" s="526"/>
      <c r="BT90" s="526"/>
      <c r="BU90" s="526"/>
      <c r="BV90" s="526"/>
      <c r="BW90" s="526"/>
      <c r="BX90" s="526"/>
      <c r="BY90" s="526"/>
      <c r="BZ90" s="526"/>
      <c r="CA90" s="526"/>
      <c r="CB90" s="526"/>
      <c r="CC90" s="526"/>
      <c r="CD90" s="526"/>
      <c r="CE90" s="526"/>
      <c r="CF90" s="526"/>
      <c r="CG90" s="526"/>
      <c r="CH90" s="526"/>
      <c r="CI90" s="526"/>
      <c r="CJ90" s="526"/>
      <c r="CK90" s="526"/>
      <c r="CL90" s="526"/>
      <c r="CM90" s="526"/>
    </row>
    <row r="91" spans="1:91" s="197" customFormat="1" ht="15">
      <c r="A91" s="188"/>
      <c r="B91" s="766" t="s">
        <v>10</v>
      </c>
      <c r="C91" s="672"/>
      <c r="D91" s="672"/>
      <c r="E91" s="672"/>
      <c r="F91" s="672"/>
      <c r="G91" s="190"/>
      <c r="H91" s="555"/>
      <c r="I91" s="550"/>
      <c r="J91" s="550"/>
      <c r="K91" s="550"/>
      <c r="L91" s="551"/>
      <c r="M91" s="551"/>
      <c r="N91" s="551"/>
      <c r="O91" s="551"/>
      <c r="P91" s="551"/>
      <c r="Q91" s="552"/>
      <c r="R91" s="552"/>
      <c r="S91" s="552"/>
      <c r="T91" s="552"/>
      <c r="U91" s="527"/>
      <c r="V91" s="527"/>
      <c r="W91" s="527"/>
      <c r="X91" s="527"/>
      <c r="Y91" s="526"/>
      <c r="Z91" s="526"/>
      <c r="AA91" s="526"/>
      <c r="AB91" s="526"/>
      <c r="AC91" s="526"/>
      <c r="AD91" s="526"/>
      <c r="AE91" s="526"/>
      <c r="AF91" s="526"/>
      <c r="AG91" s="526"/>
      <c r="AH91" s="526"/>
      <c r="AI91" s="526"/>
      <c r="AJ91" s="526"/>
      <c r="AK91" s="526"/>
      <c r="AL91" s="526"/>
      <c r="AM91" s="526"/>
      <c r="AN91" s="526"/>
      <c r="AO91" s="526"/>
      <c r="AP91" s="526"/>
      <c r="AQ91" s="526"/>
      <c r="AR91" s="526"/>
      <c r="AS91" s="526"/>
      <c r="AT91" s="526"/>
      <c r="AU91" s="526"/>
      <c r="AV91" s="526"/>
      <c r="AW91" s="526"/>
      <c r="AX91" s="526"/>
      <c r="AY91" s="526"/>
      <c r="AZ91" s="526"/>
      <c r="BA91" s="526"/>
      <c r="BB91" s="526"/>
      <c r="BC91" s="526"/>
      <c r="BD91" s="526"/>
      <c r="BE91" s="526"/>
      <c r="BF91" s="526"/>
      <c r="BG91" s="526"/>
      <c r="BH91" s="526"/>
      <c r="BI91" s="526"/>
      <c r="BJ91" s="526"/>
      <c r="BK91" s="526"/>
      <c r="BL91" s="526"/>
      <c r="BM91" s="526"/>
      <c r="BN91" s="526"/>
      <c r="BO91" s="526"/>
      <c r="BP91" s="526"/>
      <c r="BQ91" s="526"/>
      <c r="BR91" s="526"/>
      <c r="BS91" s="526"/>
      <c r="BT91" s="526"/>
      <c r="BU91" s="526"/>
      <c r="BV91" s="526"/>
      <c r="BW91" s="526"/>
      <c r="BX91" s="526"/>
      <c r="BY91" s="526"/>
      <c r="BZ91" s="526"/>
      <c r="CA91" s="526"/>
      <c r="CB91" s="526"/>
      <c r="CC91" s="526"/>
      <c r="CD91" s="526"/>
      <c r="CE91" s="526"/>
      <c r="CF91" s="526"/>
      <c r="CG91" s="526"/>
      <c r="CH91" s="526"/>
      <c r="CI91" s="526"/>
      <c r="CJ91" s="526"/>
      <c r="CK91" s="526"/>
      <c r="CL91" s="526"/>
      <c r="CM91" s="526"/>
    </row>
    <row r="92" spans="1:91" s="197" customFormat="1" ht="15">
      <c r="A92" s="188"/>
      <c r="B92" s="672"/>
      <c r="C92" s="672"/>
      <c r="D92" s="672"/>
      <c r="E92" s="672"/>
      <c r="F92" s="672"/>
      <c r="G92" s="190"/>
      <c r="H92" s="555"/>
      <c r="I92" s="550"/>
      <c r="J92" s="550"/>
      <c r="K92" s="550"/>
      <c r="L92" s="551"/>
      <c r="M92" s="551"/>
      <c r="N92" s="551"/>
      <c r="O92" s="551"/>
      <c r="P92" s="551"/>
      <c r="Q92" s="552"/>
      <c r="R92" s="552"/>
      <c r="S92" s="552"/>
      <c r="T92" s="552"/>
      <c r="U92" s="527"/>
      <c r="V92" s="527"/>
      <c r="W92" s="527"/>
      <c r="X92" s="527"/>
      <c r="Y92" s="526"/>
      <c r="Z92" s="526"/>
      <c r="AA92" s="526"/>
      <c r="AB92" s="526"/>
      <c r="AC92" s="526"/>
      <c r="AD92" s="526"/>
      <c r="AE92" s="526"/>
      <c r="AF92" s="526"/>
      <c r="AG92" s="526"/>
      <c r="AH92" s="526"/>
      <c r="AI92" s="526"/>
      <c r="AJ92" s="526"/>
      <c r="AK92" s="526"/>
      <c r="AL92" s="526"/>
      <c r="AM92" s="526"/>
      <c r="AN92" s="526"/>
      <c r="AO92" s="526"/>
      <c r="AP92" s="526"/>
      <c r="AQ92" s="526"/>
      <c r="AR92" s="526"/>
      <c r="AS92" s="526"/>
      <c r="AT92" s="526"/>
      <c r="AU92" s="526"/>
      <c r="AV92" s="526"/>
      <c r="AW92" s="526"/>
      <c r="AX92" s="526"/>
      <c r="AY92" s="526"/>
      <c r="AZ92" s="526"/>
      <c r="BA92" s="526"/>
      <c r="BB92" s="526"/>
      <c r="BC92" s="526"/>
      <c r="BD92" s="526"/>
      <c r="BE92" s="526"/>
      <c r="BF92" s="526"/>
      <c r="BG92" s="526"/>
      <c r="BH92" s="526"/>
      <c r="BI92" s="526"/>
      <c r="BJ92" s="526"/>
      <c r="BK92" s="526"/>
      <c r="BL92" s="526"/>
      <c r="BM92" s="526"/>
      <c r="BN92" s="526"/>
      <c r="BO92" s="526"/>
      <c r="BP92" s="526"/>
      <c r="BQ92" s="526"/>
      <c r="BR92" s="526"/>
      <c r="BS92" s="526"/>
      <c r="BT92" s="526"/>
      <c r="BU92" s="526"/>
      <c r="BV92" s="526"/>
      <c r="BW92" s="526"/>
      <c r="BX92" s="526"/>
      <c r="BY92" s="526"/>
      <c r="BZ92" s="526"/>
      <c r="CA92" s="526"/>
      <c r="CB92" s="526"/>
      <c r="CC92" s="526"/>
      <c r="CD92" s="526"/>
      <c r="CE92" s="526"/>
      <c r="CF92" s="526"/>
      <c r="CG92" s="526"/>
      <c r="CH92" s="526"/>
      <c r="CI92" s="526"/>
      <c r="CJ92" s="526"/>
      <c r="CK92" s="526"/>
      <c r="CL92" s="526"/>
      <c r="CM92" s="526"/>
    </row>
    <row r="93" spans="1:91" s="197" customFormat="1" ht="15.75">
      <c r="A93" s="188"/>
      <c r="B93" s="199"/>
      <c r="C93" s="202"/>
      <c r="D93" s="199"/>
      <c r="E93" s="199"/>
      <c r="F93" s="199"/>
      <c r="G93" s="190"/>
      <c r="H93" s="555"/>
      <c r="I93" s="550"/>
      <c r="J93" s="550"/>
      <c r="K93" s="550"/>
      <c r="L93" s="551"/>
      <c r="M93" s="551"/>
      <c r="N93" s="551"/>
      <c r="O93" s="551"/>
      <c r="P93" s="551"/>
      <c r="Q93" s="552"/>
      <c r="R93" s="552"/>
      <c r="S93" s="552"/>
      <c r="T93" s="552"/>
      <c r="U93" s="527"/>
      <c r="V93" s="527"/>
      <c r="W93" s="527"/>
      <c r="X93" s="527"/>
      <c r="Y93" s="526"/>
      <c r="Z93" s="526"/>
      <c r="AA93" s="526"/>
      <c r="AB93" s="526"/>
      <c r="AC93" s="526"/>
      <c r="AD93" s="526"/>
      <c r="AE93" s="526"/>
      <c r="AF93" s="526"/>
      <c r="AG93" s="526"/>
      <c r="AH93" s="526"/>
      <c r="AI93" s="526"/>
      <c r="AJ93" s="526"/>
      <c r="AK93" s="526"/>
      <c r="AL93" s="526"/>
      <c r="AM93" s="526"/>
      <c r="AN93" s="526"/>
      <c r="AO93" s="526"/>
      <c r="AP93" s="526"/>
      <c r="AQ93" s="526"/>
      <c r="AR93" s="526"/>
      <c r="AS93" s="526"/>
      <c r="AT93" s="526"/>
      <c r="AU93" s="526"/>
      <c r="AV93" s="526"/>
      <c r="AW93" s="526"/>
      <c r="AX93" s="526"/>
      <c r="AY93" s="526"/>
      <c r="AZ93" s="526"/>
      <c r="BA93" s="526"/>
      <c r="BB93" s="526"/>
      <c r="BC93" s="526"/>
      <c r="BD93" s="526"/>
      <c r="BE93" s="526"/>
      <c r="BF93" s="526"/>
      <c r="BG93" s="526"/>
      <c r="BH93" s="526"/>
      <c r="BI93" s="526"/>
      <c r="BJ93" s="526"/>
      <c r="BK93" s="526"/>
      <c r="BL93" s="526"/>
      <c r="BM93" s="526"/>
      <c r="BN93" s="526"/>
      <c r="BO93" s="526"/>
      <c r="BP93" s="526"/>
      <c r="BQ93" s="526"/>
      <c r="BR93" s="526"/>
      <c r="BS93" s="526"/>
      <c r="BT93" s="526"/>
      <c r="BU93" s="526"/>
      <c r="BV93" s="526"/>
      <c r="BW93" s="526"/>
      <c r="BX93" s="526"/>
      <c r="BY93" s="526"/>
      <c r="BZ93" s="526"/>
      <c r="CA93" s="526"/>
      <c r="CB93" s="526"/>
      <c r="CC93" s="526"/>
      <c r="CD93" s="526"/>
      <c r="CE93" s="526"/>
      <c r="CF93" s="526"/>
      <c r="CG93" s="526"/>
      <c r="CH93" s="526"/>
      <c r="CI93" s="526"/>
      <c r="CJ93" s="526"/>
      <c r="CK93" s="526"/>
      <c r="CL93" s="526"/>
      <c r="CM93" s="526"/>
    </row>
    <row r="94" spans="1:91" s="197" customFormat="1" ht="15">
      <c r="A94" s="188"/>
      <c r="B94" s="738" t="s">
        <v>21</v>
      </c>
      <c r="C94" s="672"/>
      <c r="D94" s="672"/>
      <c r="E94" s="672"/>
      <c r="F94" s="672"/>
      <c r="G94" s="190"/>
      <c r="H94" s="555"/>
      <c r="I94" s="550"/>
      <c r="J94" s="550"/>
      <c r="K94" s="550"/>
      <c r="L94" s="551"/>
      <c r="M94" s="551"/>
      <c r="N94" s="551"/>
      <c r="O94" s="551"/>
      <c r="P94" s="551"/>
      <c r="Q94" s="552"/>
      <c r="R94" s="552"/>
      <c r="S94" s="552"/>
      <c r="T94" s="552"/>
      <c r="U94" s="527"/>
      <c r="V94" s="527"/>
      <c r="W94" s="527"/>
      <c r="X94" s="527"/>
      <c r="Y94" s="526"/>
      <c r="Z94" s="526"/>
      <c r="AA94" s="526"/>
      <c r="AB94" s="526"/>
      <c r="AC94" s="526"/>
      <c r="AD94" s="526"/>
      <c r="AE94" s="526"/>
      <c r="AF94" s="526"/>
      <c r="AG94" s="526"/>
      <c r="AH94" s="526"/>
      <c r="AI94" s="526"/>
      <c r="AJ94" s="526"/>
      <c r="AK94" s="526"/>
      <c r="AL94" s="526"/>
      <c r="AM94" s="526"/>
      <c r="AN94" s="526"/>
      <c r="AO94" s="526"/>
      <c r="AP94" s="526"/>
      <c r="AQ94" s="526"/>
      <c r="AR94" s="526"/>
      <c r="AS94" s="526"/>
      <c r="AT94" s="526"/>
      <c r="AU94" s="526"/>
      <c r="AV94" s="526"/>
      <c r="AW94" s="526"/>
      <c r="AX94" s="526"/>
      <c r="AY94" s="526"/>
      <c r="AZ94" s="526"/>
      <c r="BA94" s="526"/>
      <c r="BB94" s="526"/>
      <c r="BC94" s="526"/>
      <c r="BD94" s="526"/>
      <c r="BE94" s="526"/>
      <c r="BF94" s="526"/>
      <c r="BG94" s="526"/>
      <c r="BH94" s="526"/>
      <c r="BI94" s="526"/>
      <c r="BJ94" s="526"/>
      <c r="BK94" s="526"/>
      <c r="BL94" s="526"/>
      <c r="BM94" s="526"/>
      <c r="BN94" s="526"/>
      <c r="BO94" s="526"/>
      <c r="BP94" s="526"/>
      <c r="BQ94" s="526"/>
      <c r="BR94" s="526"/>
      <c r="BS94" s="526"/>
      <c r="BT94" s="526"/>
      <c r="BU94" s="526"/>
      <c r="BV94" s="526"/>
      <c r="BW94" s="526"/>
      <c r="BX94" s="526"/>
      <c r="BY94" s="526"/>
      <c r="BZ94" s="526"/>
      <c r="CA94" s="526"/>
      <c r="CB94" s="526"/>
      <c r="CC94" s="526"/>
      <c r="CD94" s="526"/>
      <c r="CE94" s="526"/>
      <c r="CF94" s="526"/>
      <c r="CG94" s="526"/>
      <c r="CH94" s="526"/>
      <c r="CI94" s="526"/>
      <c r="CJ94" s="526"/>
      <c r="CK94" s="526"/>
      <c r="CL94" s="526"/>
      <c r="CM94" s="526"/>
    </row>
    <row r="95" spans="1:91" s="197" customFormat="1" ht="15">
      <c r="A95" s="188"/>
      <c r="B95" s="672"/>
      <c r="C95" s="672"/>
      <c r="D95" s="672"/>
      <c r="E95" s="672"/>
      <c r="F95" s="672"/>
      <c r="G95" s="190"/>
      <c r="H95" s="555"/>
      <c r="I95" s="550"/>
      <c r="J95" s="550"/>
      <c r="K95" s="550"/>
      <c r="L95" s="551"/>
      <c r="M95" s="551"/>
      <c r="N95" s="551"/>
      <c r="O95" s="551"/>
      <c r="P95" s="551"/>
      <c r="Q95" s="552"/>
      <c r="R95" s="552"/>
      <c r="S95" s="552"/>
      <c r="T95" s="552"/>
      <c r="U95" s="527"/>
      <c r="V95" s="527"/>
      <c r="W95" s="527"/>
      <c r="X95" s="527"/>
      <c r="Y95" s="526"/>
      <c r="Z95" s="526"/>
      <c r="AA95" s="526"/>
      <c r="AB95" s="526"/>
      <c r="AC95" s="526"/>
      <c r="AD95" s="526"/>
      <c r="AE95" s="526"/>
      <c r="AF95" s="526"/>
      <c r="AG95" s="526"/>
      <c r="AH95" s="526"/>
      <c r="AI95" s="526"/>
      <c r="AJ95" s="526"/>
      <c r="AK95" s="526"/>
      <c r="AL95" s="526"/>
      <c r="AM95" s="526"/>
      <c r="AN95" s="526"/>
      <c r="AO95" s="526"/>
      <c r="AP95" s="526"/>
      <c r="AQ95" s="526"/>
      <c r="AR95" s="526"/>
      <c r="AS95" s="526"/>
      <c r="AT95" s="526"/>
      <c r="AU95" s="526"/>
      <c r="AV95" s="526"/>
      <c r="AW95" s="526"/>
      <c r="AX95" s="526"/>
      <c r="AY95" s="526"/>
      <c r="AZ95" s="526"/>
      <c r="BA95" s="526"/>
      <c r="BB95" s="526"/>
      <c r="BC95" s="526"/>
      <c r="BD95" s="526"/>
      <c r="BE95" s="526"/>
      <c r="BF95" s="526"/>
      <c r="BG95" s="526"/>
      <c r="BH95" s="526"/>
      <c r="BI95" s="526"/>
      <c r="BJ95" s="526"/>
      <c r="BK95" s="526"/>
      <c r="BL95" s="526"/>
      <c r="BM95" s="526"/>
      <c r="BN95" s="526"/>
      <c r="BO95" s="526"/>
      <c r="BP95" s="526"/>
      <c r="BQ95" s="526"/>
      <c r="BR95" s="526"/>
      <c r="BS95" s="526"/>
      <c r="BT95" s="526"/>
      <c r="BU95" s="526"/>
      <c r="BV95" s="526"/>
      <c r="BW95" s="526"/>
      <c r="BX95" s="526"/>
      <c r="BY95" s="526"/>
      <c r="BZ95" s="526"/>
      <c r="CA95" s="526"/>
      <c r="CB95" s="526"/>
      <c r="CC95" s="526"/>
      <c r="CD95" s="526"/>
      <c r="CE95" s="526"/>
      <c r="CF95" s="526"/>
      <c r="CG95" s="526"/>
      <c r="CH95" s="526"/>
      <c r="CI95" s="526"/>
      <c r="CJ95" s="526"/>
      <c r="CK95" s="526"/>
      <c r="CL95" s="526"/>
      <c r="CM95" s="526"/>
    </row>
    <row r="96" spans="1:91" s="197" customFormat="1" ht="15">
      <c r="A96" s="188"/>
      <c r="B96" s="672"/>
      <c r="C96" s="672"/>
      <c r="D96" s="672"/>
      <c r="E96" s="672"/>
      <c r="F96" s="672"/>
      <c r="G96" s="190"/>
      <c r="H96" s="555"/>
      <c r="I96" s="550"/>
      <c r="J96" s="550"/>
      <c r="K96" s="550"/>
      <c r="L96" s="551"/>
      <c r="M96" s="551"/>
      <c r="N96" s="551"/>
      <c r="O96" s="551"/>
      <c r="P96" s="551"/>
      <c r="Q96" s="552"/>
      <c r="R96" s="552"/>
      <c r="S96" s="552"/>
      <c r="T96" s="552"/>
      <c r="U96" s="527"/>
      <c r="V96" s="527"/>
      <c r="W96" s="527"/>
      <c r="X96" s="527"/>
      <c r="Y96" s="526"/>
      <c r="Z96" s="526"/>
      <c r="AA96" s="526"/>
      <c r="AB96" s="526"/>
      <c r="AC96" s="526"/>
      <c r="AD96" s="526"/>
      <c r="AE96" s="526"/>
      <c r="AF96" s="526"/>
      <c r="AG96" s="526"/>
      <c r="AH96" s="526"/>
      <c r="AI96" s="526"/>
      <c r="AJ96" s="526"/>
      <c r="AK96" s="526"/>
      <c r="AL96" s="526"/>
      <c r="AM96" s="526"/>
      <c r="AN96" s="526"/>
      <c r="AO96" s="526"/>
      <c r="AP96" s="526"/>
      <c r="AQ96" s="526"/>
      <c r="AR96" s="526"/>
      <c r="AS96" s="526"/>
      <c r="AT96" s="526"/>
      <c r="AU96" s="526"/>
      <c r="AV96" s="526"/>
      <c r="AW96" s="526"/>
      <c r="AX96" s="526"/>
      <c r="AY96" s="526"/>
      <c r="AZ96" s="526"/>
      <c r="BA96" s="526"/>
      <c r="BB96" s="526"/>
      <c r="BC96" s="526"/>
      <c r="BD96" s="526"/>
      <c r="BE96" s="526"/>
      <c r="BF96" s="526"/>
      <c r="BG96" s="526"/>
      <c r="BH96" s="526"/>
      <c r="BI96" s="526"/>
      <c r="BJ96" s="526"/>
      <c r="BK96" s="526"/>
      <c r="BL96" s="526"/>
      <c r="BM96" s="526"/>
      <c r="BN96" s="526"/>
      <c r="BO96" s="526"/>
      <c r="BP96" s="526"/>
      <c r="BQ96" s="526"/>
      <c r="BR96" s="526"/>
      <c r="BS96" s="526"/>
      <c r="BT96" s="526"/>
      <c r="BU96" s="526"/>
      <c r="BV96" s="526"/>
      <c r="BW96" s="526"/>
      <c r="BX96" s="526"/>
      <c r="BY96" s="526"/>
      <c r="BZ96" s="526"/>
      <c r="CA96" s="526"/>
      <c r="CB96" s="526"/>
      <c r="CC96" s="526"/>
      <c r="CD96" s="526"/>
      <c r="CE96" s="526"/>
      <c r="CF96" s="526"/>
      <c r="CG96" s="526"/>
      <c r="CH96" s="526"/>
      <c r="CI96" s="526"/>
      <c r="CJ96" s="526"/>
      <c r="CK96" s="526"/>
      <c r="CL96" s="526"/>
      <c r="CM96" s="526"/>
    </row>
    <row r="97" spans="1:91" s="197" customFormat="1" ht="15">
      <c r="A97" s="188"/>
      <c r="B97" s="672"/>
      <c r="C97" s="672"/>
      <c r="D97" s="672"/>
      <c r="E97" s="672"/>
      <c r="F97" s="672"/>
      <c r="G97" s="190"/>
      <c r="H97" s="555"/>
      <c r="I97" s="550"/>
      <c r="J97" s="550"/>
      <c r="K97" s="550"/>
      <c r="L97" s="551"/>
      <c r="M97" s="551"/>
      <c r="N97" s="551"/>
      <c r="O97" s="551"/>
      <c r="P97" s="551"/>
      <c r="Q97" s="552"/>
      <c r="R97" s="552"/>
      <c r="S97" s="552"/>
      <c r="T97" s="552"/>
      <c r="U97" s="527"/>
      <c r="V97" s="527"/>
      <c r="W97" s="527"/>
      <c r="X97" s="527"/>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6"/>
      <c r="AY97" s="526"/>
      <c r="AZ97" s="526"/>
      <c r="BA97" s="526"/>
      <c r="BB97" s="526"/>
      <c r="BC97" s="526"/>
      <c r="BD97" s="526"/>
      <c r="BE97" s="526"/>
      <c r="BF97" s="526"/>
      <c r="BG97" s="526"/>
      <c r="BH97" s="526"/>
      <c r="BI97" s="526"/>
      <c r="BJ97" s="526"/>
      <c r="BK97" s="526"/>
      <c r="BL97" s="526"/>
      <c r="BM97" s="526"/>
      <c r="BN97" s="526"/>
      <c r="BO97" s="526"/>
      <c r="BP97" s="526"/>
      <c r="BQ97" s="526"/>
      <c r="BR97" s="526"/>
      <c r="BS97" s="526"/>
      <c r="BT97" s="526"/>
      <c r="BU97" s="526"/>
      <c r="BV97" s="526"/>
      <c r="BW97" s="526"/>
      <c r="BX97" s="526"/>
      <c r="BY97" s="526"/>
      <c r="BZ97" s="526"/>
      <c r="CA97" s="526"/>
      <c r="CB97" s="526"/>
      <c r="CC97" s="526"/>
      <c r="CD97" s="526"/>
      <c r="CE97" s="526"/>
      <c r="CF97" s="526"/>
      <c r="CG97" s="526"/>
      <c r="CH97" s="526"/>
      <c r="CI97" s="526"/>
      <c r="CJ97" s="526"/>
      <c r="CK97" s="526"/>
      <c r="CL97" s="526"/>
      <c r="CM97" s="526"/>
    </row>
    <row r="98" spans="1:91" s="197" customFormat="1" ht="15">
      <c r="A98" s="188"/>
      <c r="B98" s="672"/>
      <c r="C98" s="672"/>
      <c r="D98" s="672"/>
      <c r="E98" s="672"/>
      <c r="F98" s="672"/>
      <c r="G98" s="190"/>
      <c r="H98" s="555"/>
      <c r="I98" s="550"/>
      <c r="J98" s="550"/>
      <c r="K98" s="550"/>
      <c r="L98" s="551"/>
      <c r="M98" s="551"/>
      <c r="N98" s="551"/>
      <c r="O98" s="551"/>
      <c r="P98" s="551"/>
      <c r="Q98" s="552"/>
      <c r="R98" s="552"/>
      <c r="S98" s="552"/>
      <c r="T98" s="552"/>
      <c r="U98" s="527"/>
      <c r="V98" s="527"/>
      <c r="W98" s="527"/>
      <c r="X98" s="527"/>
      <c r="Y98" s="526"/>
      <c r="Z98" s="526"/>
      <c r="AA98" s="526"/>
      <c r="AB98" s="526"/>
      <c r="AC98" s="526"/>
      <c r="AD98" s="526"/>
      <c r="AE98" s="526"/>
      <c r="AF98" s="526"/>
      <c r="AG98" s="526"/>
      <c r="AH98" s="526"/>
      <c r="AI98" s="526"/>
      <c r="AJ98" s="526"/>
      <c r="AK98" s="526"/>
      <c r="AL98" s="526"/>
      <c r="AM98" s="526"/>
      <c r="AN98" s="526"/>
      <c r="AO98" s="526"/>
      <c r="AP98" s="526"/>
      <c r="AQ98" s="526"/>
      <c r="AR98" s="526"/>
      <c r="AS98" s="526"/>
      <c r="AT98" s="526"/>
      <c r="AU98" s="526"/>
      <c r="AV98" s="526"/>
      <c r="AW98" s="526"/>
      <c r="AX98" s="526"/>
      <c r="AY98" s="526"/>
      <c r="AZ98" s="526"/>
      <c r="BA98" s="526"/>
      <c r="BB98" s="526"/>
      <c r="BC98" s="526"/>
      <c r="BD98" s="526"/>
      <c r="BE98" s="526"/>
      <c r="BF98" s="526"/>
      <c r="BG98" s="526"/>
      <c r="BH98" s="526"/>
      <c r="BI98" s="526"/>
      <c r="BJ98" s="526"/>
      <c r="BK98" s="526"/>
      <c r="BL98" s="526"/>
      <c r="BM98" s="526"/>
      <c r="BN98" s="526"/>
      <c r="BO98" s="526"/>
      <c r="BP98" s="526"/>
      <c r="BQ98" s="526"/>
      <c r="BR98" s="526"/>
      <c r="BS98" s="526"/>
      <c r="BT98" s="526"/>
      <c r="BU98" s="526"/>
      <c r="BV98" s="526"/>
      <c r="BW98" s="526"/>
      <c r="BX98" s="526"/>
      <c r="BY98" s="526"/>
      <c r="BZ98" s="526"/>
      <c r="CA98" s="526"/>
      <c r="CB98" s="526"/>
      <c r="CC98" s="526"/>
      <c r="CD98" s="526"/>
      <c r="CE98" s="526"/>
      <c r="CF98" s="526"/>
      <c r="CG98" s="526"/>
      <c r="CH98" s="526"/>
      <c r="CI98" s="526"/>
      <c r="CJ98" s="526"/>
      <c r="CK98" s="526"/>
      <c r="CL98" s="526"/>
      <c r="CM98" s="526"/>
    </row>
    <row r="99" spans="1:91" s="197" customFormat="1" ht="15">
      <c r="A99" s="188"/>
      <c r="B99" s="248"/>
      <c r="C99" s="199"/>
      <c r="D99" s="199"/>
      <c r="E99" s="199"/>
      <c r="F99" s="199"/>
      <c r="G99" s="190"/>
      <c r="H99" s="555"/>
      <c r="I99" s="550"/>
      <c r="J99" s="550"/>
      <c r="K99" s="550"/>
      <c r="L99" s="551"/>
      <c r="M99" s="551"/>
      <c r="N99" s="551"/>
      <c r="O99" s="551"/>
      <c r="P99" s="551"/>
      <c r="Q99" s="552"/>
      <c r="R99" s="552"/>
      <c r="S99" s="552"/>
      <c r="T99" s="552"/>
      <c r="U99" s="527"/>
      <c r="V99" s="527"/>
      <c r="W99" s="527"/>
      <c r="X99" s="527"/>
      <c r="Y99" s="526"/>
      <c r="Z99" s="526"/>
      <c r="AA99" s="526"/>
      <c r="AB99" s="526"/>
      <c r="AC99" s="526"/>
      <c r="AD99" s="526"/>
      <c r="AE99" s="526"/>
      <c r="AF99" s="526"/>
      <c r="AG99" s="526"/>
      <c r="AH99" s="526"/>
      <c r="AI99" s="526"/>
      <c r="AJ99" s="526"/>
      <c r="AK99" s="526"/>
      <c r="AL99" s="526"/>
      <c r="AM99" s="526"/>
      <c r="AN99" s="526"/>
      <c r="AO99" s="526"/>
      <c r="AP99" s="526"/>
      <c r="AQ99" s="526"/>
      <c r="AR99" s="526"/>
      <c r="AS99" s="526"/>
      <c r="AT99" s="526"/>
      <c r="AU99" s="526"/>
      <c r="AV99" s="526"/>
      <c r="AW99" s="526"/>
      <c r="AX99" s="526"/>
      <c r="AY99" s="526"/>
      <c r="AZ99" s="526"/>
      <c r="BA99" s="526"/>
      <c r="BB99" s="526"/>
      <c r="BC99" s="526"/>
      <c r="BD99" s="526"/>
      <c r="BE99" s="526"/>
      <c r="BF99" s="526"/>
      <c r="BG99" s="526"/>
      <c r="BH99" s="526"/>
      <c r="BI99" s="526"/>
      <c r="BJ99" s="526"/>
      <c r="BK99" s="526"/>
      <c r="BL99" s="526"/>
      <c r="BM99" s="526"/>
      <c r="BN99" s="526"/>
      <c r="BO99" s="526"/>
      <c r="BP99" s="526"/>
      <c r="BQ99" s="526"/>
      <c r="BR99" s="526"/>
      <c r="BS99" s="526"/>
      <c r="BT99" s="526"/>
      <c r="BU99" s="526"/>
      <c r="BV99" s="526"/>
      <c r="BW99" s="526"/>
      <c r="BX99" s="526"/>
      <c r="BY99" s="526"/>
      <c r="BZ99" s="526"/>
      <c r="CA99" s="526"/>
      <c r="CB99" s="526"/>
      <c r="CC99" s="526"/>
      <c r="CD99" s="526"/>
      <c r="CE99" s="526"/>
      <c r="CF99" s="526"/>
      <c r="CG99" s="526"/>
      <c r="CH99" s="526"/>
      <c r="CI99" s="526"/>
      <c r="CJ99" s="526"/>
      <c r="CK99" s="526"/>
      <c r="CL99" s="526"/>
      <c r="CM99" s="526"/>
    </row>
    <row r="100" spans="1:91" s="197" customFormat="1" ht="15.75">
      <c r="A100" s="188"/>
      <c r="B100" s="198">
        <v>1</v>
      </c>
      <c r="C100" s="738" t="s">
        <v>97</v>
      </c>
      <c r="D100" s="738"/>
      <c r="E100" s="199"/>
      <c r="F100" s="133"/>
      <c r="G100" s="190"/>
      <c r="H100" s="555"/>
      <c r="I100" s="550"/>
      <c r="J100" s="550"/>
      <c r="K100" s="550"/>
      <c r="L100" s="551"/>
      <c r="M100" s="551"/>
      <c r="N100" s="551"/>
      <c r="O100" s="551"/>
      <c r="P100" s="551"/>
      <c r="Q100" s="552"/>
      <c r="R100" s="552"/>
      <c r="S100" s="552"/>
      <c r="T100" s="552"/>
      <c r="U100" s="527"/>
      <c r="V100" s="527"/>
      <c r="W100" s="527"/>
      <c r="X100" s="527"/>
      <c r="Y100" s="526"/>
      <c r="Z100" s="526"/>
      <c r="AA100" s="526"/>
      <c r="AB100" s="526"/>
      <c r="AC100" s="526"/>
      <c r="AD100" s="526"/>
      <c r="AE100" s="526"/>
      <c r="AF100" s="526"/>
      <c r="AG100" s="526"/>
      <c r="AH100" s="526"/>
      <c r="AI100" s="526"/>
      <c r="AJ100" s="526"/>
      <c r="AK100" s="526"/>
      <c r="AL100" s="526"/>
      <c r="AM100" s="526"/>
      <c r="AN100" s="526"/>
      <c r="AO100" s="526"/>
      <c r="AP100" s="526"/>
      <c r="AQ100" s="526"/>
      <c r="AR100" s="526"/>
      <c r="AS100" s="526"/>
      <c r="AT100" s="526"/>
      <c r="AU100" s="526"/>
      <c r="AV100" s="526"/>
      <c r="AW100" s="526"/>
      <c r="AX100" s="526"/>
      <c r="AY100" s="526"/>
      <c r="AZ100" s="526"/>
      <c r="BA100" s="526"/>
      <c r="BB100" s="526"/>
      <c r="BC100" s="526"/>
      <c r="BD100" s="526"/>
      <c r="BE100" s="526"/>
      <c r="BF100" s="526"/>
      <c r="BG100" s="526"/>
      <c r="BH100" s="526"/>
      <c r="BI100" s="526"/>
      <c r="BJ100" s="526"/>
      <c r="BK100" s="526"/>
      <c r="BL100" s="526"/>
      <c r="BM100" s="526"/>
      <c r="BN100" s="526"/>
      <c r="BO100" s="526"/>
      <c r="BP100" s="526"/>
      <c r="BQ100" s="526"/>
      <c r="BR100" s="526"/>
      <c r="BS100" s="526"/>
      <c r="BT100" s="526"/>
      <c r="BU100" s="526"/>
      <c r="BV100" s="526"/>
      <c r="BW100" s="526"/>
      <c r="BX100" s="526"/>
      <c r="BY100" s="526"/>
      <c r="BZ100" s="526"/>
      <c r="CA100" s="526"/>
      <c r="CB100" s="526"/>
      <c r="CC100" s="526"/>
      <c r="CD100" s="526"/>
      <c r="CE100" s="526"/>
      <c r="CF100" s="526"/>
      <c r="CG100" s="526"/>
      <c r="CH100" s="526"/>
      <c r="CI100" s="526"/>
      <c r="CJ100" s="526"/>
      <c r="CK100" s="526"/>
      <c r="CL100" s="526"/>
      <c r="CM100" s="526"/>
    </row>
    <row r="101" spans="1:91" s="197" customFormat="1" ht="15.75">
      <c r="A101" s="188"/>
      <c r="B101" s="198"/>
      <c r="C101" s="738"/>
      <c r="D101" s="738"/>
      <c r="E101" s="199"/>
      <c r="F101" s="199"/>
      <c r="G101" s="190"/>
      <c r="H101" s="555"/>
      <c r="I101" s="550"/>
      <c r="J101" s="550"/>
      <c r="K101" s="550"/>
      <c r="L101" s="551"/>
      <c r="M101" s="551"/>
      <c r="N101" s="551"/>
      <c r="O101" s="551"/>
      <c r="P101" s="551"/>
      <c r="Q101" s="552"/>
      <c r="R101" s="552"/>
      <c r="S101" s="552"/>
      <c r="T101" s="552"/>
      <c r="U101" s="527"/>
      <c r="V101" s="527"/>
      <c r="W101" s="527"/>
      <c r="X101" s="527"/>
      <c r="Y101" s="526"/>
      <c r="Z101" s="526"/>
      <c r="AA101" s="526"/>
      <c r="AB101" s="526"/>
      <c r="AC101" s="526"/>
      <c r="AD101" s="526"/>
      <c r="AE101" s="526"/>
      <c r="AF101" s="526"/>
      <c r="AG101" s="526"/>
      <c r="AH101" s="526"/>
      <c r="AI101" s="526"/>
      <c r="AJ101" s="526"/>
      <c r="AK101" s="526"/>
      <c r="AL101" s="526"/>
      <c r="AM101" s="526"/>
      <c r="AN101" s="526"/>
      <c r="AO101" s="526"/>
      <c r="AP101" s="526"/>
      <c r="AQ101" s="526"/>
      <c r="AR101" s="526"/>
      <c r="AS101" s="526"/>
      <c r="AT101" s="526"/>
      <c r="AU101" s="526"/>
      <c r="AV101" s="526"/>
      <c r="AW101" s="526"/>
      <c r="AX101" s="526"/>
      <c r="AY101" s="526"/>
      <c r="AZ101" s="526"/>
      <c r="BA101" s="526"/>
      <c r="BB101" s="526"/>
      <c r="BC101" s="526"/>
      <c r="BD101" s="526"/>
      <c r="BE101" s="526"/>
      <c r="BF101" s="526"/>
      <c r="BG101" s="526"/>
      <c r="BH101" s="526"/>
      <c r="BI101" s="526"/>
      <c r="BJ101" s="526"/>
      <c r="BK101" s="526"/>
      <c r="BL101" s="526"/>
      <c r="BM101" s="526"/>
      <c r="BN101" s="526"/>
      <c r="BO101" s="526"/>
      <c r="BP101" s="526"/>
      <c r="BQ101" s="526"/>
      <c r="BR101" s="526"/>
      <c r="BS101" s="526"/>
      <c r="BT101" s="526"/>
      <c r="BU101" s="526"/>
      <c r="BV101" s="526"/>
      <c r="BW101" s="526"/>
      <c r="BX101" s="526"/>
      <c r="BY101" s="526"/>
      <c r="BZ101" s="526"/>
      <c r="CA101" s="526"/>
      <c r="CB101" s="526"/>
      <c r="CC101" s="526"/>
      <c r="CD101" s="526"/>
      <c r="CE101" s="526"/>
      <c r="CF101" s="526"/>
      <c r="CG101" s="526"/>
      <c r="CH101" s="526"/>
      <c r="CI101" s="526"/>
      <c r="CJ101" s="526"/>
      <c r="CK101" s="526"/>
      <c r="CL101" s="526"/>
      <c r="CM101" s="526"/>
    </row>
    <row r="102" spans="1:91" s="197" customFormat="1" ht="15.75">
      <c r="A102" s="188"/>
      <c r="B102" s="198">
        <v>2</v>
      </c>
      <c r="C102" s="199" t="s">
        <v>98</v>
      </c>
      <c r="D102" s="199"/>
      <c r="E102" s="199"/>
      <c r="F102" s="133"/>
      <c r="G102" s="190"/>
      <c r="H102" s="555"/>
      <c r="I102" s="550"/>
      <c r="J102" s="550"/>
      <c r="K102" s="550"/>
      <c r="L102" s="551"/>
      <c r="M102" s="551"/>
      <c r="N102" s="551"/>
      <c r="O102" s="551"/>
      <c r="P102" s="551"/>
      <c r="Q102" s="552"/>
      <c r="R102" s="552"/>
      <c r="S102" s="552"/>
      <c r="T102" s="552"/>
      <c r="U102" s="527"/>
      <c r="V102" s="527"/>
      <c r="W102" s="527"/>
      <c r="X102" s="527"/>
      <c r="Y102" s="526"/>
      <c r="Z102" s="526"/>
      <c r="AA102" s="526"/>
      <c r="AB102" s="526"/>
      <c r="AC102" s="526"/>
      <c r="AD102" s="526"/>
      <c r="AE102" s="526"/>
      <c r="AF102" s="526"/>
      <c r="AG102" s="526"/>
      <c r="AH102" s="526"/>
      <c r="AI102" s="526"/>
      <c r="AJ102" s="526"/>
      <c r="AK102" s="526"/>
      <c r="AL102" s="526"/>
      <c r="AM102" s="526"/>
      <c r="AN102" s="526"/>
      <c r="AO102" s="526"/>
      <c r="AP102" s="526"/>
      <c r="AQ102" s="526"/>
      <c r="AR102" s="526"/>
      <c r="AS102" s="526"/>
      <c r="AT102" s="526"/>
      <c r="AU102" s="526"/>
      <c r="AV102" s="526"/>
      <c r="AW102" s="526"/>
      <c r="AX102" s="526"/>
      <c r="AY102" s="526"/>
      <c r="AZ102" s="526"/>
      <c r="BA102" s="526"/>
      <c r="BB102" s="526"/>
      <c r="BC102" s="526"/>
      <c r="BD102" s="526"/>
      <c r="BE102" s="526"/>
      <c r="BF102" s="526"/>
      <c r="BG102" s="526"/>
      <c r="BH102" s="526"/>
      <c r="BI102" s="526"/>
      <c r="BJ102" s="526"/>
      <c r="BK102" s="526"/>
      <c r="BL102" s="526"/>
      <c r="BM102" s="526"/>
      <c r="BN102" s="526"/>
      <c r="BO102" s="526"/>
      <c r="BP102" s="526"/>
      <c r="BQ102" s="526"/>
      <c r="BR102" s="526"/>
      <c r="BS102" s="526"/>
      <c r="BT102" s="526"/>
      <c r="BU102" s="526"/>
      <c r="BV102" s="526"/>
      <c r="BW102" s="526"/>
      <c r="BX102" s="526"/>
      <c r="BY102" s="526"/>
      <c r="BZ102" s="526"/>
      <c r="CA102" s="526"/>
      <c r="CB102" s="526"/>
      <c r="CC102" s="526"/>
      <c r="CD102" s="526"/>
      <c r="CE102" s="526"/>
      <c r="CF102" s="526"/>
      <c r="CG102" s="526"/>
      <c r="CH102" s="526"/>
      <c r="CI102" s="526"/>
      <c r="CJ102" s="526"/>
      <c r="CK102" s="526"/>
      <c r="CL102" s="526"/>
      <c r="CM102" s="526"/>
    </row>
    <row r="103" spans="1:91" s="197" customFormat="1" ht="16.5" thickBot="1">
      <c r="A103" s="188"/>
      <c r="B103" s="198"/>
      <c r="C103" s="199"/>
      <c r="D103" s="199"/>
      <c r="E103" s="199"/>
      <c r="F103" s="199"/>
      <c r="G103" s="190"/>
      <c r="H103" s="555"/>
      <c r="I103" s="550"/>
      <c r="J103" s="550"/>
      <c r="K103" s="550"/>
      <c r="L103" s="551"/>
      <c r="M103" s="551"/>
      <c r="N103" s="551"/>
      <c r="O103" s="551"/>
      <c r="P103" s="551"/>
      <c r="Q103" s="552"/>
      <c r="R103" s="552"/>
      <c r="S103" s="552"/>
      <c r="T103" s="552"/>
      <c r="U103" s="527"/>
      <c r="V103" s="527"/>
      <c r="W103" s="527"/>
      <c r="X103" s="527"/>
      <c r="Y103" s="526"/>
      <c r="Z103" s="526"/>
      <c r="AA103" s="526"/>
      <c r="AB103" s="526"/>
      <c r="AC103" s="526"/>
      <c r="AD103" s="526"/>
      <c r="AE103" s="526"/>
      <c r="AF103" s="526"/>
      <c r="AG103" s="526"/>
      <c r="AH103" s="526"/>
      <c r="AI103" s="526"/>
      <c r="AJ103" s="526"/>
      <c r="AK103" s="526"/>
      <c r="AL103" s="526"/>
      <c r="AM103" s="526"/>
      <c r="AN103" s="526"/>
      <c r="AO103" s="526"/>
      <c r="AP103" s="526"/>
      <c r="AQ103" s="526"/>
      <c r="AR103" s="526"/>
      <c r="AS103" s="526"/>
      <c r="AT103" s="526"/>
      <c r="AU103" s="526"/>
      <c r="AV103" s="526"/>
      <c r="AW103" s="526"/>
      <c r="AX103" s="526"/>
      <c r="AY103" s="526"/>
      <c r="AZ103" s="526"/>
      <c r="BA103" s="526"/>
      <c r="BB103" s="526"/>
      <c r="BC103" s="526"/>
      <c r="BD103" s="526"/>
      <c r="BE103" s="526"/>
      <c r="BF103" s="526"/>
      <c r="BG103" s="526"/>
      <c r="BH103" s="526"/>
      <c r="BI103" s="526"/>
      <c r="BJ103" s="526"/>
      <c r="BK103" s="526"/>
      <c r="BL103" s="526"/>
      <c r="BM103" s="526"/>
      <c r="BN103" s="526"/>
      <c r="BO103" s="526"/>
      <c r="BP103" s="526"/>
      <c r="BQ103" s="526"/>
      <c r="BR103" s="526"/>
      <c r="BS103" s="526"/>
      <c r="BT103" s="526"/>
      <c r="BU103" s="526"/>
      <c r="BV103" s="526"/>
      <c r="BW103" s="526"/>
      <c r="BX103" s="526"/>
      <c r="BY103" s="526"/>
      <c r="BZ103" s="526"/>
      <c r="CA103" s="526"/>
      <c r="CB103" s="526"/>
      <c r="CC103" s="526"/>
      <c r="CD103" s="526"/>
      <c r="CE103" s="526"/>
      <c r="CF103" s="526"/>
      <c r="CG103" s="526"/>
      <c r="CH103" s="526"/>
      <c r="CI103" s="526"/>
      <c r="CJ103" s="526"/>
      <c r="CK103" s="526"/>
      <c r="CL103" s="526"/>
      <c r="CM103" s="526"/>
    </row>
    <row r="104" spans="1:91" s="197" customFormat="1" ht="15">
      <c r="A104" s="188"/>
      <c r="B104" s="759" t="s">
        <v>1072</v>
      </c>
      <c r="C104" s="760"/>
      <c r="D104" s="760"/>
      <c r="E104" s="760"/>
      <c r="F104" s="761"/>
      <c r="G104" s="190"/>
      <c r="H104" s="555"/>
      <c r="I104" s="550"/>
      <c r="J104" s="550"/>
      <c r="K104" s="550"/>
      <c r="L104" s="551"/>
      <c r="M104" s="551"/>
      <c r="N104" s="551"/>
      <c r="O104" s="551"/>
      <c r="P104" s="551"/>
      <c r="Q104" s="552"/>
      <c r="R104" s="552"/>
      <c r="S104" s="552"/>
      <c r="T104" s="552"/>
      <c r="U104" s="527"/>
      <c r="V104" s="527"/>
      <c r="W104" s="527"/>
      <c r="X104" s="527"/>
      <c r="Y104" s="526"/>
      <c r="Z104" s="526"/>
      <c r="AA104" s="526"/>
      <c r="AB104" s="526"/>
      <c r="AC104" s="526"/>
      <c r="AD104" s="526"/>
      <c r="AE104" s="526"/>
      <c r="AF104" s="526"/>
      <c r="AG104" s="526"/>
      <c r="AH104" s="526"/>
      <c r="AI104" s="526"/>
      <c r="AJ104" s="526"/>
      <c r="AK104" s="526"/>
      <c r="AL104" s="526"/>
      <c r="AM104" s="526"/>
      <c r="AN104" s="526"/>
      <c r="AO104" s="526"/>
      <c r="AP104" s="526"/>
      <c r="AQ104" s="526"/>
      <c r="AR104" s="526"/>
      <c r="AS104" s="526"/>
      <c r="AT104" s="526"/>
      <c r="AU104" s="526"/>
      <c r="AV104" s="526"/>
      <c r="AW104" s="526"/>
      <c r="AX104" s="526"/>
      <c r="AY104" s="526"/>
      <c r="AZ104" s="526"/>
      <c r="BA104" s="526"/>
      <c r="BB104" s="526"/>
      <c r="BC104" s="526"/>
      <c r="BD104" s="526"/>
      <c r="BE104" s="526"/>
      <c r="BF104" s="526"/>
      <c r="BG104" s="526"/>
      <c r="BH104" s="526"/>
      <c r="BI104" s="526"/>
      <c r="BJ104" s="526"/>
      <c r="BK104" s="526"/>
      <c r="BL104" s="526"/>
      <c r="BM104" s="526"/>
      <c r="BN104" s="526"/>
      <c r="BO104" s="526"/>
      <c r="BP104" s="526"/>
      <c r="BQ104" s="526"/>
      <c r="BR104" s="526"/>
      <c r="BS104" s="526"/>
      <c r="BT104" s="526"/>
      <c r="BU104" s="526"/>
      <c r="BV104" s="526"/>
      <c r="BW104" s="526"/>
      <c r="BX104" s="526"/>
      <c r="BY104" s="526"/>
      <c r="BZ104" s="526"/>
      <c r="CA104" s="526"/>
      <c r="CB104" s="526"/>
      <c r="CC104" s="526"/>
      <c r="CD104" s="526"/>
      <c r="CE104" s="526"/>
      <c r="CF104" s="526"/>
      <c r="CG104" s="526"/>
      <c r="CH104" s="526"/>
      <c r="CI104" s="526"/>
      <c r="CJ104" s="526"/>
      <c r="CK104" s="526"/>
      <c r="CL104" s="526"/>
      <c r="CM104" s="526"/>
    </row>
    <row r="105" spans="1:91" s="197" customFormat="1" ht="15">
      <c r="A105" s="188"/>
      <c r="B105" s="762"/>
      <c r="C105" s="763"/>
      <c r="D105" s="763"/>
      <c r="E105" s="763"/>
      <c r="F105" s="764"/>
      <c r="G105" s="190"/>
      <c r="H105" s="555"/>
      <c r="I105" s="550"/>
      <c r="J105" s="550"/>
      <c r="K105" s="550"/>
      <c r="L105" s="551"/>
      <c r="M105" s="551"/>
      <c r="N105" s="551"/>
      <c r="O105" s="551"/>
      <c r="P105" s="551"/>
      <c r="Q105" s="552"/>
      <c r="R105" s="552"/>
      <c r="S105" s="552"/>
      <c r="T105" s="552"/>
      <c r="U105" s="527"/>
      <c r="V105" s="527"/>
      <c r="W105" s="527"/>
      <c r="X105" s="527"/>
      <c r="Y105" s="526"/>
      <c r="Z105" s="526"/>
      <c r="AA105" s="526"/>
      <c r="AB105" s="526"/>
      <c r="AC105" s="526"/>
      <c r="AD105" s="526"/>
      <c r="AE105" s="526"/>
      <c r="AF105" s="526"/>
      <c r="AG105" s="526"/>
      <c r="AH105" s="526"/>
      <c r="AI105" s="526"/>
      <c r="AJ105" s="526"/>
      <c r="AK105" s="526"/>
      <c r="AL105" s="526"/>
      <c r="AM105" s="526"/>
      <c r="AN105" s="526"/>
      <c r="AO105" s="526"/>
      <c r="AP105" s="526"/>
      <c r="AQ105" s="526"/>
      <c r="AR105" s="526"/>
      <c r="AS105" s="526"/>
      <c r="AT105" s="526"/>
      <c r="AU105" s="526"/>
      <c r="AV105" s="526"/>
      <c r="AW105" s="526"/>
      <c r="AX105" s="526"/>
      <c r="AY105" s="526"/>
      <c r="AZ105" s="526"/>
      <c r="BA105" s="526"/>
      <c r="BB105" s="526"/>
      <c r="BC105" s="526"/>
      <c r="BD105" s="526"/>
      <c r="BE105" s="526"/>
      <c r="BF105" s="526"/>
      <c r="BG105" s="526"/>
      <c r="BH105" s="526"/>
      <c r="BI105" s="526"/>
      <c r="BJ105" s="526"/>
      <c r="BK105" s="526"/>
      <c r="BL105" s="526"/>
      <c r="BM105" s="526"/>
      <c r="BN105" s="526"/>
      <c r="BO105" s="526"/>
      <c r="BP105" s="526"/>
      <c r="BQ105" s="526"/>
      <c r="BR105" s="526"/>
      <c r="BS105" s="526"/>
      <c r="BT105" s="526"/>
      <c r="BU105" s="526"/>
      <c r="BV105" s="526"/>
      <c r="BW105" s="526"/>
      <c r="BX105" s="526"/>
      <c r="BY105" s="526"/>
      <c r="BZ105" s="526"/>
      <c r="CA105" s="526"/>
      <c r="CB105" s="526"/>
      <c r="CC105" s="526"/>
      <c r="CD105" s="526"/>
      <c r="CE105" s="526"/>
      <c r="CF105" s="526"/>
      <c r="CG105" s="526"/>
      <c r="CH105" s="526"/>
      <c r="CI105" s="526"/>
      <c r="CJ105" s="526"/>
      <c r="CK105" s="526"/>
      <c r="CL105" s="526"/>
      <c r="CM105" s="526"/>
    </row>
    <row r="106" spans="1:91" s="197" customFormat="1" ht="15">
      <c r="A106" s="188"/>
      <c r="B106" s="739"/>
      <c r="C106" s="740"/>
      <c r="D106" s="740"/>
      <c r="E106" s="740"/>
      <c r="F106" s="741"/>
      <c r="G106" s="190"/>
      <c r="H106" s="555"/>
      <c r="I106" s="550"/>
      <c r="J106" s="550"/>
      <c r="K106" s="550"/>
      <c r="L106" s="551"/>
      <c r="M106" s="551"/>
      <c r="N106" s="551"/>
      <c r="O106" s="551"/>
      <c r="P106" s="551"/>
      <c r="Q106" s="552"/>
      <c r="R106" s="552"/>
      <c r="S106" s="552"/>
      <c r="T106" s="552"/>
      <c r="U106" s="527"/>
      <c r="V106" s="527"/>
      <c r="W106" s="527"/>
      <c r="X106" s="527"/>
      <c r="Y106" s="526"/>
      <c r="Z106" s="526"/>
      <c r="AA106" s="526"/>
      <c r="AB106" s="526"/>
      <c r="AC106" s="526"/>
      <c r="AD106" s="526"/>
      <c r="AE106" s="526"/>
      <c r="AF106" s="526"/>
      <c r="AG106" s="526"/>
      <c r="AH106" s="526"/>
      <c r="AI106" s="526"/>
      <c r="AJ106" s="526"/>
      <c r="AK106" s="526"/>
      <c r="AL106" s="526"/>
      <c r="AM106" s="526"/>
      <c r="AN106" s="526"/>
      <c r="AO106" s="526"/>
      <c r="AP106" s="526"/>
      <c r="AQ106" s="526"/>
      <c r="AR106" s="526"/>
      <c r="AS106" s="526"/>
      <c r="AT106" s="526"/>
      <c r="AU106" s="526"/>
      <c r="AV106" s="526"/>
      <c r="AW106" s="526"/>
      <c r="AX106" s="526"/>
      <c r="AY106" s="526"/>
      <c r="AZ106" s="526"/>
      <c r="BA106" s="526"/>
      <c r="BB106" s="526"/>
      <c r="BC106" s="526"/>
      <c r="BD106" s="526"/>
      <c r="BE106" s="526"/>
      <c r="BF106" s="526"/>
      <c r="BG106" s="526"/>
      <c r="BH106" s="526"/>
      <c r="BI106" s="526"/>
      <c r="BJ106" s="526"/>
      <c r="BK106" s="526"/>
      <c r="BL106" s="526"/>
      <c r="BM106" s="526"/>
      <c r="BN106" s="526"/>
      <c r="BO106" s="526"/>
      <c r="BP106" s="526"/>
      <c r="BQ106" s="526"/>
      <c r="BR106" s="526"/>
      <c r="BS106" s="526"/>
      <c r="BT106" s="526"/>
      <c r="BU106" s="526"/>
      <c r="BV106" s="526"/>
      <c r="BW106" s="526"/>
      <c r="BX106" s="526"/>
      <c r="BY106" s="526"/>
      <c r="BZ106" s="526"/>
      <c r="CA106" s="526"/>
      <c r="CB106" s="526"/>
      <c r="CC106" s="526"/>
      <c r="CD106" s="526"/>
      <c r="CE106" s="526"/>
      <c r="CF106" s="526"/>
      <c r="CG106" s="526"/>
      <c r="CH106" s="526"/>
      <c r="CI106" s="526"/>
      <c r="CJ106" s="526"/>
      <c r="CK106" s="526"/>
      <c r="CL106" s="526"/>
      <c r="CM106" s="526"/>
    </row>
    <row r="107" spans="1:91" s="197" customFormat="1" ht="15">
      <c r="A107" s="188"/>
      <c r="B107" s="739"/>
      <c r="C107" s="740"/>
      <c r="D107" s="740"/>
      <c r="E107" s="740"/>
      <c r="F107" s="741"/>
      <c r="G107" s="190"/>
      <c r="H107" s="555"/>
      <c r="I107" s="550"/>
      <c r="J107" s="550"/>
      <c r="K107" s="550"/>
      <c r="L107" s="551"/>
      <c r="M107" s="551"/>
      <c r="N107" s="551"/>
      <c r="O107" s="551"/>
      <c r="P107" s="551"/>
      <c r="Q107" s="552"/>
      <c r="R107" s="552"/>
      <c r="S107" s="552"/>
      <c r="T107" s="552"/>
      <c r="U107" s="527"/>
      <c r="V107" s="527"/>
      <c r="W107" s="527"/>
      <c r="X107" s="527"/>
      <c r="Y107" s="526"/>
      <c r="Z107" s="526"/>
      <c r="AA107" s="526"/>
      <c r="AB107" s="526"/>
      <c r="AC107" s="526"/>
      <c r="AD107" s="526"/>
      <c r="AE107" s="526"/>
      <c r="AF107" s="526"/>
      <c r="AG107" s="526"/>
      <c r="AH107" s="526"/>
      <c r="AI107" s="526"/>
      <c r="AJ107" s="526"/>
      <c r="AK107" s="526"/>
      <c r="AL107" s="526"/>
      <c r="AM107" s="526"/>
      <c r="AN107" s="526"/>
      <c r="AO107" s="526"/>
      <c r="AP107" s="526"/>
      <c r="AQ107" s="526"/>
      <c r="AR107" s="526"/>
      <c r="AS107" s="526"/>
      <c r="AT107" s="526"/>
      <c r="AU107" s="526"/>
      <c r="AV107" s="526"/>
      <c r="AW107" s="526"/>
      <c r="AX107" s="526"/>
      <c r="AY107" s="526"/>
      <c r="AZ107" s="526"/>
      <c r="BA107" s="526"/>
      <c r="BB107" s="526"/>
      <c r="BC107" s="526"/>
      <c r="BD107" s="526"/>
      <c r="BE107" s="526"/>
      <c r="BF107" s="526"/>
      <c r="BG107" s="526"/>
      <c r="BH107" s="526"/>
      <c r="BI107" s="526"/>
      <c r="BJ107" s="526"/>
      <c r="BK107" s="526"/>
      <c r="BL107" s="526"/>
      <c r="BM107" s="526"/>
      <c r="BN107" s="526"/>
      <c r="BO107" s="526"/>
      <c r="BP107" s="526"/>
      <c r="BQ107" s="526"/>
      <c r="BR107" s="526"/>
      <c r="BS107" s="526"/>
      <c r="BT107" s="526"/>
      <c r="BU107" s="526"/>
      <c r="BV107" s="526"/>
      <c r="BW107" s="526"/>
      <c r="BX107" s="526"/>
      <c r="BY107" s="526"/>
      <c r="BZ107" s="526"/>
      <c r="CA107" s="526"/>
      <c r="CB107" s="526"/>
      <c r="CC107" s="526"/>
      <c r="CD107" s="526"/>
      <c r="CE107" s="526"/>
      <c r="CF107" s="526"/>
      <c r="CG107" s="526"/>
      <c r="CH107" s="526"/>
      <c r="CI107" s="526"/>
      <c r="CJ107" s="526"/>
      <c r="CK107" s="526"/>
      <c r="CL107" s="526"/>
      <c r="CM107" s="526"/>
    </row>
    <row r="108" spans="1:91" s="197" customFormat="1" ht="15">
      <c r="A108" s="188"/>
      <c r="B108" s="739"/>
      <c r="C108" s="740"/>
      <c r="D108" s="740"/>
      <c r="E108" s="740"/>
      <c r="F108" s="741"/>
      <c r="G108" s="190"/>
      <c r="H108" s="555"/>
      <c r="I108" s="550"/>
      <c r="J108" s="550"/>
      <c r="K108" s="550"/>
      <c r="L108" s="551"/>
      <c r="M108" s="551"/>
      <c r="N108" s="551"/>
      <c r="O108" s="551"/>
      <c r="P108" s="551"/>
      <c r="Q108" s="552"/>
      <c r="R108" s="552"/>
      <c r="S108" s="552"/>
      <c r="T108" s="552"/>
      <c r="U108" s="527"/>
      <c r="V108" s="527"/>
      <c r="W108" s="527"/>
      <c r="X108" s="527"/>
      <c r="Y108" s="526"/>
      <c r="Z108" s="526"/>
      <c r="AA108" s="526"/>
      <c r="AB108" s="526"/>
      <c r="AC108" s="526"/>
      <c r="AD108" s="526"/>
      <c r="AE108" s="526"/>
      <c r="AF108" s="526"/>
      <c r="AG108" s="526"/>
      <c r="AH108" s="526"/>
      <c r="AI108" s="526"/>
      <c r="AJ108" s="526"/>
      <c r="AK108" s="526"/>
      <c r="AL108" s="526"/>
      <c r="AM108" s="526"/>
      <c r="AN108" s="526"/>
      <c r="AO108" s="526"/>
      <c r="AP108" s="526"/>
      <c r="AQ108" s="526"/>
      <c r="AR108" s="526"/>
      <c r="AS108" s="526"/>
      <c r="AT108" s="526"/>
      <c r="AU108" s="526"/>
      <c r="AV108" s="526"/>
      <c r="AW108" s="526"/>
      <c r="AX108" s="526"/>
      <c r="AY108" s="526"/>
      <c r="AZ108" s="526"/>
      <c r="BA108" s="526"/>
      <c r="BB108" s="526"/>
      <c r="BC108" s="526"/>
      <c r="BD108" s="526"/>
      <c r="BE108" s="526"/>
      <c r="BF108" s="526"/>
      <c r="BG108" s="526"/>
      <c r="BH108" s="526"/>
      <c r="BI108" s="526"/>
      <c r="BJ108" s="526"/>
      <c r="BK108" s="526"/>
      <c r="BL108" s="526"/>
      <c r="BM108" s="526"/>
      <c r="BN108" s="526"/>
      <c r="BO108" s="526"/>
      <c r="BP108" s="526"/>
      <c r="BQ108" s="526"/>
      <c r="BR108" s="526"/>
      <c r="BS108" s="526"/>
      <c r="BT108" s="526"/>
      <c r="BU108" s="526"/>
      <c r="BV108" s="526"/>
      <c r="BW108" s="526"/>
      <c r="BX108" s="526"/>
      <c r="BY108" s="526"/>
      <c r="BZ108" s="526"/>
      <c r="CA108" s="526"/>
      <c r="CB108" s="526"/>
      <c r="CC108" s="526"/>
      <c r="CD108" s="526"/>
      <c r="CE108" s="526"/>
      <c r="CF108" s="526"/>
      <c r="CG108" s="526"/>
      <c r="CH108" s="526"/>
      <c r="CI108" s="526"/>
      <c r="CJ108" s="526"/>
      <c r="CK108" s="526"/>
      <c r="CL108" s="526"/>
      <c r="CM108" s="526"/>
    </row>
    <row r="109" spans="1:91" s="197" customFormat="1" ht="15">
      <c r="A109" s="188"/>
      <c r="B109" s="739"/>
      <c r="C109" s="740"/>
      <c r="D109" s="740"/>
      <c r="E109" s="740"/>
      <c r="F109" s="741"/>
      <c r="G109" s="190"/>
      <c r="H109" s="555"/>
      <c r="I109" s="550"/>
      <c r="J109" s="550"/>
      <c r="K109" s="550"/>
      <c r="L109" s="551"/>
      <c r="M109" s="551"/>
      <c r="N109" s="551"/>
      <c r="O109" s="551"/>
      <c r="P109" s="551"/>
      <c r="Q109" s="552"/>
      <c r="R109" s="552"/>
      <c r="S109" s="552"/>
      <c r="T109" s="552"/>
      <c r="U109" s="527"/>
      <c r="V109" s="527"/>
      <c r="W109" s="527"/>
      <c r="X109" s="527"/>
      <c r="Y109" s="526"/>
      <c r="Z109" s="526"/>
      <c r="AA109" s="526"/>
      <c r="AB109" s="526"/>
      <c r="AC109" s="526"/>
      <c r="AD109" s="526"/>
      <c r="AE109" s="526"/>
      <c r="AF109" s="526"/>
      <c r="AG109" s="526"/>
      <c r="AH109" s="526"/>
      <c r="AI109" s="526"/>
      <c r="AJ109" s="526"/>
      <c r="AK109" s="526"/>
      <c r="AL109" s="526"/>
      <c r="AM109" s="526"/>
      <c r="AN109" s="526"/>
      <c r="AO109" s="526"/>
      <c r="AP109" s="526"/>
      <c r="AQ109" s="526"/>
      <c r="AR109" s="526"/>
      <c r="AS109" s="526"/>
      <c r="AT109" s="526"/>
      <c r="AU109" s="526"/>
      <c r="AV109" s="526"/>
      <c r="AW109" s="526"/>
      <c r="AX109" s="526"/>
      <c r="AY109" s="526"/>
      <c r="AZ109" s="526"/>
      <c r="BA109" s="526"/>
      <c r="BB109" s="526"/>
      <c r="BC109" s="526"/>
      <c r="BD109" s="526"/>
      <c r="BE109" s="526"/>
      <c r="BF109" s="526"/>
      <c r="BG109" s="526"/>
      <c r="BH109" s="526"/>
      <c r="BI109" s="526"/>
      <c r="BJ109" s="526"/>
      <c r="BK109" s="526"/>
      <c r="BL109" s="526"/>
      <c r="BM109" s="526"/>
      <c r="BN109" s="526"/>
      <c r="BO109" s="526"/>
      <c r="BP109" s="526"/>
      <c r="BQ109" s="526"/>
      <c r="BR109" s="526"/>
      <c r="BS109" s="526"/>
      <c r="BT109" s="526"/>
      <c r="BU109" s="526"/>
      <c r="BV109" s="526"/>
      <c r="BW109" s="526"/>
      <c r="BX109" s="526"/>
      <c r="BY109" s="526"/>
      <c r="BZ109" s="526"/>
      <c r="CA109" s="526"/>
      <c r="CB109" s="526"/>
      <c r="CC109" s="526"/>
      <c r="CD109" s="526"/>
      <c r="CE109" s="526"/>
      <c r="CF109" s="526"/>
      <c r="CG109" s="526"/>
      <c r="CH109" s="526"/>
      <c r="CI109" s="526"/>
      <c r="CJ109" s="526"/>
      <c r="CK109" s="526"/>
      <c r="CL109" s="526"/>
      <c r="CM109" s="526"/>
    </row>
    <row r="110" spans="1:91" s="197" customFormat="1" ht="15">
      <c r="A110" s="188"/>
      <c r="B110" s="739"/>
      <c r="C110" s="740"/>
      <c r="D110" s="740"/>
      <c r="E110" s="740"/>
      <c r="F110" s="741"/>
      <c r="G110" s="190"/>
      <c r="H110" s="555"/>
      <c r="I110" s="550"/>
      <c r="J110" s="550"/>
      <c r="K110" s="550"/>
      <c r="L110" s="551"/>
      <c r="M110" s="551"/>
      <c r="N110" s="551"/>
      <c r="O110" s="551"/>
      <c r="P110" s="551"/>
      <c r="Q110" s="552"/>
      <c r="R110" s="552"/>
      <c r="S110" s="552"/>
      <c r="T110" s="552"/>
      <c r="U110" s="527"/>
      <c r="V110" s="527"/>
      <c r="W110" s="527"/>
      <c r="X110" s="527"/>
      <c r="Y110" s="526"/>
      <c r="Z110" s="526"/>
      <c r="AA110" s="526"/>
      <c r="AB110" s="526"/>
      <c r="AC110" s="526"/>
      <c r="AD110" s="526"/>
      <c r="AE110" s="526"/>
      <c r="AF110" s="526"/>
      <c r="AG110" s="526"/>
      <c r="AH110" s="526"/>
      <c r="AI110" s="526"/>
      <c r="AJ110" s="526"/>
      <c r="AK110" s="526"/>
      <c r="AL110" s="526"/>
      <c r="AM110" s="526"/>
      <c r="AN110" s="526"/>
      <c r="AO110" s="526"/>
      <c r="AP110" s="526"/>
      <c r="AQ110" s="526"/>
      <c r="AR110" s="526"/>
      <c r="AS110" s="526"/>
      <c r="AT110" s="526"/>
      <c r="AU110" s="526"/>
      <c r="AV110" s="526"/>
      <c r="AW110" s="526"/>
      <c r="AX110" s="526"/>
      <c r="AY110" s="526"/>
      <c r="AZ110" s="526"/>
      <c r="BA110" s="526"/>
      <c r="BB110" s="526"/>
      <c r="BC110" s="526"/>
      <c r="BD110" s="526"/>
      <c r="BE110" s="526"/>
      <c r="BF110" s="526"/>
      <c r="BG110" s="526"/>
      <c r="BH110" s="526"/>
      <c r="BI110" s="526"/>
      <c r="BJ110" s="526"/>
      <c r="BK110" s="526"/>
      <c r="BL110" s="526"/>
      <c r="BM110" s="526"/>
      <c r="BN110" s="526"/>
      <c r="BO110" s="526"/>
      <c r="BP110" s="526"/>
      <c r="BQ110" s="526"/>
      <c r="BR110" s="526"/>
      <c r="BS110" s="526"/>
      <c r="BT110" s="526"/>
      <c r="BU110" s="526"/>
      <c r="BV110" s="526"/>
      <c r="BW110" s="526"/>
      <c r="BX110" s="526"/>
      <c r="BY110" s="526"/>
      <c r="BZ110" s="526"/>
      <c r="CA110" s="526"/>
      <c r="CB110" s="526"/>
      <c r="CC110" s="526"/>
      <c r="CD110" s="526"/>
      <c r="CE110" s="526"/>
      <c r="CF110" s="526"/>
      <c r="CG110" s="526"/>
      <c r="CH110" s="526"/>
      <c r="CI110" s="526"/>
      <c r="CJ110" s="526"/>
      <c r="CK110" s="526"/>
      <c r="CL110" s="526"/>
      <c r="CM110" s="526"/>
    </row>
    <row r="111" spans="1:91" s="197" customFormat="1" ht="15">
      <c r="A111" s="188"/>
      <c r="B111" s="739"/>
      <c r="C111" s="740"/>
      <c r="D111" s="740"/>
      <c r="E111" s="740"/>
      <c r="F111" s="741"/>
      <c r="G111" s="190"/>
      <c r="H111" s="555"/>
      <c r="I111" s="550"/>
      <c r="J111" s="550"/>
      <c r="K111" s="550"/>
      <c r="L111" s="551"/>
      <c r="M111" s="551"/>
      <c r="N111" s="551"/>
      <c r="O111" s="551"/>
      <c r="P111" s="551"/>
      <c r="Q111" s="552"/>
      <c r="R111" s="552"/>
      <c r="S111" s="552"/>
      <c r="T111" s="552"/>
      <c r="U111" s="527"/>
      <c r="V111" s="527"/>
      <c r="W111" s="527"/>
      <c r="X111" s="527"/>
      <c r="Y111" s="526"/>
      <c r="Z111" s="526"/>
      <c r="AA111" s="526"/>
      <c r="AB111" s="526"/>
      <c r="AC111" s="526"/>
      <c r="AD111" s="526"/>
      <c r="AE111" s="526"/>
      <c r="AF111" s="526"/>
      <c r="AG111" s="526"/>
      <c r="AH111" s="526"/>
      <c r="AI111" s="526"/>
      <c r="AJ111" s="526"/>
      <c r="AK111" s="526"/>
      <c r="AL111" s="526"/>
      <c r="AM111" s="526"/>
      <c r="AN111" s="526"/>
      <c r="AO111" s="526"/>
      <c r="AP111" s="526"/>
      <c r="AQ111" s="526"/>
      <c r="AR111" s="526"/>
      <c r="AS111" s="526"/>
      <c r="AT111" s="526"/>
      <c r="AU111" s="526"/>
      <c r="AV111" s="526"/>
      <c r="AW111" s="526"/>
      <c r="AX111" s="526"/>
      <c r="AY111" s="526"/>
      <c r="AZ111" s="526"/>
      <c r="BA111" s="526"/>
      <c r="BB111" s="526"/>
      <c r="BC111" s="526"/>
      <c r="BD111" s="526"/>
      <c r="BE111" s="526"/>
      <c r="BF111" s="526"/>
      <c r="BG111" s="526"/>
      <c r="BH111" s="526"/>
      <c r="BI111" s="526"/>
      <c r="BJ111" s="526"/>
      <c r="BK111" s="526"/>
      <c r="BL111" s="526"/>
      <c r="BM111" s="526"/>
      <c r="BN111" s="526"/>
      <c r="BO111" s="526"/>
      <c r="BP111" s="526"/>
      <c r="BQ111" s="526"/>
      <c r="BR111" s="526"/>
      <c r="BS111" s="526"/>
      <c r="BT111" s="526"/>
      <c r="BU111" s="526"/>
      <c r="BV111" s="526"/>
      <c r="BW111" s="526"/>
      <c r="BX111" s="526"/>
      <c r="BY111" s="526"/>
      <c r="BZ111" s="526"/>
      <c r="CA111" s="526"/>
      <c r="CB111" s="526"/>
      <c r="CC111" s="526"/>
      <c r="CD111" s="526"/>
      <c r="CE111" s="526"/>
      <c r="CF111" s="526"/>
      <c r="CG111" s="526"/>
      <c r="CH111" s="526"/>
      <c r="CI111" s="526"/>
      <c r="CJ111" s="526"/>
      <c r="CK111" s="526"/>
      <c r="CL111" s="526"/>
      <c r="CM111" s="526"/>
    </row>
    <row r="112" spans="1:91" s="197" customFormat="1" ht="15">
      <c r="A112" s="188"/>
      <c r="B112" s="739"/>
      <c r="C112" s="740"/>
      <c r="D112" s="740"/>
      <c r="E112" s="740"/>
      <c r="F112" s="741"/>
      <c r="G112" s="190"/>
      <c r="H112" s="555"/>
      <c r="I112" s="550"/>
      <c r="J112" s="550"/>
      <c r="K112" s="550"/>
      <c r="L112" s="551"/>
      <c r="M112" s="551"/>
      <c r="N112" s="551"/>
      <c r="O112" s="551"/>
      <c r="P112" s="551"/>
      <c r="Q112" s="552"/>
      <c r="R112" s="552"/>
      <c r="S112" s="552"/>
      <c r="T112" s="552"/>
      <c r="U112" s="527"/>
      <c r="V112" s="527"/>
      <c r="W112" s="527"/>
      <c r="X112" s="527"/>
      <c r="Y112" s="526"/>
      <c r="Z112" s="526"/>
      <c r="AA112" s="526"/>
      <c r="AB112" s="526"/>
      <c r="AC112" s="526"/>
      <c r="AD112" s="526"/>
      <c r="AE112" s="526"/>
      <c r="AF112" s="526"/>
      <c r="AG112" s="526"/>
      <c r="AH112" s="526"/>
      <c r="AI112" s="526"/>
      <c r="AJ112" s="526"/>
      <c r="AK112" s="526"/>
      <c r="AL112" s="526"/>
      <c r="AM112" s="526"/>
      <c r="AN112" s="526"/>
      <c r="AO112" s="526"/>
      <c r="AP112" s="526"/>
      <c r="AQ112" s="526"/>
      <c r="AR112" s="526"/>
      <c r="AS112" s="526"/>
      <c r="AT112" s="526"/>
      <c r="AU112" s="526"/>
      <c r="AV112" s="526"/>
      <c r="AW112" s="526"/>
      <c r="AX112" s="526"/>
      <c r="AY112" s="526"/>
      <c r="AZ112" s="526"/>
      <c r="BA112" s="526"/>
      <c r="BB112" s="526"/>
      <c r="BC112" s="526"/>
      <c r="BD112" s="526"/>
      <c r="BE112" s="526"/>
      <c r="BF112" s="526"/>
      <c r="BG112" s="526"/>
      <c r="BH112" s="526"/>
      <c r="BI112" s="526"/>
      <c r="BJ112" s="526"/>
      <c r="BK112" s="526"/>
      <c r="BL112" s="526"/>
      <c r="BM112" s="526"/>
      <c r="BN112" s="526"/>
      <c r="BO112" s="526"/>
      <c r="BP112" s="526"/>
      <c r="BQ112" s="526"/>
      <c r="BR112" s="526"/>
      <c r="BS112" s="526"/>
      <c r="BT112" s="526"/>
      <c r="BU112" s="526"/>
      <c r="BV112" s="526"/>
      <c r="BW112" s="526"/>
      <c r="BX112" s="526"/>
      <c r="BY112" s="526"/>
      <c r="BZ112" s="526"/>
      <c r="CA112" s="526"/>
      <c r="CB112" s="526"/>
      <c r="CC112" s="526"/>
      <c r="CD112" s="526"/>
      <c r="CE112" s="526"/>
      <c r="CF112" s="526"/>
      <c r="CG112" s="526"/>
      <c r="CH112" s="526"/>
      <c r="CI112" s="526"/>
      <c r="CJ112" s="526"/>
      <c r="CK112" s="526"/>
      <c r="CL112" s="526"/>
      <c r="CM112" s="526"/>
    </row>
    <row r="113" spans="1:91" s="197" customFormat="1" ht="15">
      <c r="A113" s="188"/>
      <c r="B113" s="739"/>
      <c r="C113" s="740"/>
      <c r="D113" s="740"/>
      <c r="E113" s="740"/>
      <c r="F113" s="741"/>
      <c r="G113" s="190"/>
      <c r="H113" s="555"/>
      <c r="I113" s="550"/>
      <c r="J113" s="550"/>
      <c r="K113" s="550"/>
      <c r="L113" s="551"/>
      <c r="M113" s="551"/>
      <c r="N113" s="551"/>
      <c r="O113" s="551"/>
      <c r="P113" s="551"/>
      <c r="Q113" s="552"/>
      <c r="R113" s="552"/>
      <c r="S113" s="552"/>
      <c r="T113" s="552"/>
      <c r="U113" s="527"/>
      <c r="V113" s="527"/>
      <c r="W113" s="527"/>
      <c r="X113" s="527"/>
      <c r="Y113" s="526"/>
      <c r="Z113" s="526"/>
      <c r="AA113" s="526"/>
      <c r="AB113" s="526"/>
      <c r="AC113" s="526"/>
      <c r="AD113" s="526"/>
      <c r="AE113" s="526"/>
      <c r="AF113" s="526"/>
      <c r="AG113" s="526"/>
      <c r="AH113" s="526"/>
      <c r="AI113" s="526"/>
      <c r="AJ113" s="526"/>
      <c r="AK113" s="526"/>
      <c r="AL113" s="526"/>
      <c r="AM113" s="526"/>
      <c r="AN113" s="526"/>
      <c r="AO113" s="526"/>
      <c r="AP113" s="526"/>
      <c r="AQ113" s="526"/>
      <c r="AR113" s="526"/>
      <c r="AS113" s="526"/>
      <c r="AT113" s="526"/>
      <c r="AU113" s="526"/>
      <c r="AV113" s="526"/>
      <c r="AW113" s="526"/>
      <c r="AX113" s="526"/>
      <c r="AY113" s="526"/>
      <c r="AZ113" s="526"/>
      <c r="BA113" s="526"/>
      <c r="BB113" s="526"/>
      <c r="BC113" s="526"/>
      <c r="BD113" s="526"/>
      <c r="BE113" s="526"/>
      <c r="BF113" s="526"/>
      <c r="BG113" s="526"/>
      <c r="BH113" s="526"/>
      <c r="BI113" s="526"/>
      <c r="BJ113" s="526"/>
      <c r="BK113" s="526"/>
      <c r="BL113" s="526"/>
      <c r="BM113" s="526"/>
      <c r="BN113" s="526"/>
      <c r="BO113" s="526"/>
      <c r="BP113" s="526"/>
      <c r="BQ113" s="526"/>
      <c r="BR113" s="526"/>
      <c r="BS113" s="526"/>
      <c r="BT113" s="526"/>
      <c r="BU113" s="526"/>
      <c r="BV113" s="526"/>
      <c r="BW113" s="526"/>
      <c r="BX113" s="526"/>
      <c r="BY113" s="526"/>
      <c r="BZ113" s="526"/>
      <c r="CA113" s="526"/>
      <c r="CB113" s="526"/>
      <c r="CC113" s="526"/>
      <c r="CD113" s="526"/>
      <c r="CE113" s="526"/>
      <c r="CF113" s="526"/>
      <c r="CG113" s="526"/>
      <c r="CH113" s="526"/>
      <c r="CI113" s="526"/>
      <c r="CJ113" s="526"/>
      <c r="CK113" s="526"/>
      <c r="CL113" s="526"/>
      <c r="CM113" s="526"/>
    </row>
    <row r="114" spans="1:91" s="197" customFormat="1" ht="15">
      <c r="A114" s="188"/>
      <c r="B114" s="739"/>
      <c r="C114" s="740"/>
      <c r="D114" s="740"/>
      <c r="E114" s="740"/>
      <c r="F114" s="741"/>
      <c r="G114" s="190"/>
      <c r="H114" s="555"/>
      <c r="I114" s="550"/>
      <c r="J114" s="550"/>
      <c r="K114" s="550"/>
      <c r="L114" s="551"/>
      <c r="M114" s="551"/>
      <c r="N114" s="551"/>
      <c r="O114" s="551"/>
      <c r="P114" s="551"/>
      <c r="Q114" s="552"/>
      <c r="R114" s="552"/>
      <c r="S114" s="552"/>
      <c r="T114" s="552"/>
      <c r="U114" s="527"/>
      <c r="V114" s="527"/>
      <c r="W114" s="527"/>
      <c r="X114" s="527"/>
      <c r="Y114" s="526"/>
      <c r="Z114" s="526"/>
      <c r="AA114" s="526"/>
      <c r="AB114" s="526"/>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26"/>
      <c r="AY114" s="526"/>
      <c r="AZ114" s="526"/>
      <c r="BA114" s="526"/>
      <c r="BB114" s="526"/>
      <c r="BC114" s="526"/>
      <c r="BD114" s="526"/>
      <c r="BE114" s="526"/>
      <c r="BF114" s="526"/>
      <c r="BG114" s="526"/>
      <c r="BH114" s="526"/>
      <c r="BI114" s="526"/>
      <c r="BJ114" s="526"/>
      <c r="BK114" s="526"/>
      <c r="BL114" s="526"/>
      <c r="BM114" s="526"/>
      <c r="BN114" s="526"/>
      <c r="BO114" s="526"/>
      <c r="BP114" s="526"/>
      <c r="BQ114" s="526"/>
      <c r="BR114" s="526"/>
      <c r="BS114" s="526"/>
      <c r="BT114" s="526"/>
      <c r="BU114" s="526"/>
      <c r="BV114" s="526"/>
      <c r="BW114" s="526"/>
      <c r="BX114" s="526"/>
      <c r="BY114" s="526"/>
      <c r="BZ114" s="526"/>
      <c r="CA114" s="526"/>
      <c r="CB114" s="526"/>
      <c r="CC114" s="526"/>
      <c r="CD114" s="526"/>
      <c r="CE114" s="526"/>
      <c r="CF114" s="526"/>
      <c r="CG114" s="526"/>
      <c r="CH114" s="526"/>
      <c r="CI114" s="526"/>
      <c r="CJ114" s="526"/>
      <c r="CK114" s="526"/>
      <c r="CL114" s="526"/>
      <c r="CM114" s="526"/>
    </row>
    <row r="115" spans="1:91" s="197" customFormat="1" ht="15">
      <c r="A115" s="188"/>
      <c r="B115" s="739"/>
      <c r="C115" s="740"/>
      <c r="D115" s="740"/>
      <c r="E115" s="740"/>
      <c r="F115" s="741"/>
      <c r="G115" s="190"/>
      <c r="H115" s="555"/>
      <c r="I115" s="550"/>
      <c r="J115" s="550"/>
      <c r="K115" s="550"/>
      <c r="L115" s="551"/>
      <c r="M115" s="551"/>
      <c r="N115" s="551"/>
      <c r="O115" s="551"/>
      <c r="P115" s="551"/>
      <c r="Q115" s="552"/>
      <c r="R115" s="552"/>
      <c r="S115" s="552"/>
      <c r="T115" s="552"/>
      <c r="U115" s="527"/>
      <c r="V115" s="527"/>
      <c r="W115" s="527"/>
      <c r="X115" s="527"/>
      <c r="Y115" s="526"/>
      <c r="Z115" s="526"/>
      <c r="AA115" s="526"/>
      <c r="AB115" s="526"/>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26"/>
      <c r="AY115" s="526"/>
      <c r="AZ115" s="526"/>
      <c r="BA115" s="526"/>
      <c r="BB115" s="526"/>
      <c r="BC115" s="526"/>
      <c r="BD115" s="526"/>
      <c r="BE115" s="526"/>
      <c r="BF115" s="526"/>
      <c r="BG115" s="526"/>
      <c r="BH115" s="526"/>
      <c r="BI115" s="526"/>
      <c r="BJ115" s="526"/>
      <c r="BK115" s="526"/>
      <c r="BL115" s="526"/>
      <c r="BM115" s="526"/>
      <c r="BN115" s="526"/>
      <c r="BO115" s="526"/>
      <c r="BP115" s="526"/>
      <c r="BQ115" s="526"/>
      <c r="BR115" s="526"/>
      <c r="BS115" s="526"/>
      <c r="BT115" s="526"/>
      <c r="BU115" s="526"/>
      <c r="BV115" s="526"/>
      <c r="BW115" s="526"/>
      <c r="BX115" s="526"/>
      <c r="BY115" s="526"/>
      <c r="BZ115" s="526"/>
      <c r="CA115" s="526"/>
      <c r="CB115" s="526"/>
      <c r="CC115" s="526"/>
      <c r="CD115" s="526"/>
      <c r="CE115" s="526"/>
      <c r="CF115" s="526"/>
      <c r="CG115" s="526"/>
      <c r="CH115" s="526"/>
      <c r="CI115" s="526"/>
      <c r="CJ115" s="526"/>
      <c r="CK115" s="526"/>
      <c r="CL115" s="526"/>
      <c r="CM115" s="526"/>
    </row>
    <row r="116" spans="1:91" s="197" customFormat="1" ht="15">
      <c r="A116" s="188"/>
      <c r="B116" s="739"/>
      <c r="C116" s="740"/>
      <c r="D116" s="740"/>
      <c r="E116" s="740"/>
      <c r="F116" s="741"/>
      <c r="G116" s="190"/>
      <c r="H116" s="555"/>
      <c r="I116" s="550"/>
      <c r="J116" s="550"/>
      <c r="K116" s="550"/>
      <c r="L116" s="551"/>
      <c r="M116" s="551"/>
      <c r="N116" s="551"/>
      <c r="O116" s="551"/>
      <c r="P116" s="551"/>
      <c r="Q116" s="552"/>
      <c r="R116" s="552"/>
      <c r="S116" s="552"/>
      <c r="T116" s="552"/>
      <c r="U116" s="527"/>
      <c r="V116" s="527"/>
      <c r="W116" s="527"/>
      <c r="X116" s="527"/>
      <c r="Y116" s="526"/>
      <c r="Z116" s="526"/>
      <c r="AA116" s="526"/>
      <c r="AB116" s="526"/>
      <c r="AC116" s="526"/>
      <c r="AD116" s="526"/>
      <c r="AE116" s="526"/>
      <c r="AF116" s="526"/>
      <c r="AG116" s="526"/>
      <c r="AH116" s="526"/>
      <c r="AI116" s="526"/>
      <c r="AJ116" s="526"/>
      <c r="AK116" s="526"/>
      <c r="AL116" s="526"/>
      <c r="AM116" s="526"/>
      <c r="AN116" s="526"/>
      <c r="AO116" s="526"/>
      <c r="AP116" s="526"/>
      <c r="AQ116" s="526"/>
      <c r="AR116" s="526"/>
      <c r="AS116" s="526"/>
      <c r="AT116" s="526"/>
      <c r="AU116" s="526"/>
      <c r="AV116" s="526"/>
      <c r="AW116" s="526"/>
      <c r="AX116" s="526"/>
      <c r="AY116" s="526"/>
      <c r="AZ116" s="526"/>
      <c r="BA116" s="526"/>
      <c r="BB116" s="526"/>
      <c r="BC116" s="526"/>
      <c r="BD116" s="526"/>
      <c r="BE116" s="526"/>
      <c r="BF116" s="526"/>
      <c r="BG116" s="526"/>
      <c r="BH116" s="526"/>
      <c r="BI116" s="526"/>
      <c r="BJ116" s="526"/>
      <c r="BK116" s="526"/>
      <c r="BL116" s="526"/>
      <c r="BM116" s="526"/>
      <c r="BN116" s="526"/>
      <c r="BO116" s="526"/>
      <c r="BP116" s="526"/>
      <c r="BQ116" s="526"/>
      <c r="BR116" s="526"/>
      <c r="BS116" s="526"/>
      <c r="BT116" s="526"/>
      <c r="BU116" s="526"/>
      <c r="BV116" s="526"/>
      <c r="BW116" s="526"/>
      <c r="BX116" s="526"/>
      <c r="BY116" s="526"/>
      <c r="BZ116" s="526"/>
      <c r="CA116" s="526"/>
      <c r="CB116" s="526"/>
      <c r="CC116" s="526"/>
      <c r="CD116" s="526"/>
      <c r="CE116" s="526"/>
      <c r="CF116" s="526"/>
      <c r="CG116" s="526"/>
      <c r="CH116" s="526"/>
      <c r="CI116" s="526"/>
      <c r="CJ116" s="526"/>
      <c r="CK116" s="526"/>
      <c r="CL116" s="526"/>
      <c r="CM116" s="526"/>
    </row>
    <row r="117" spans="1:91" s="197" customFormat="1" ht="15">
      <c r="A117" s="188"/>
      <c r="B117" s="739"/>
      <c r="C117" s="740"/>
      <c r="D117" s="740"/>
      <c r="E117" s="740"/>
      <c r="F117" s="741"/>
      <c r="G117" s="190"/>
      <c r="H117" s="555"/>
      <c r="I117" s="550"/>
      <c r="J117" s="550"/>
      <c r="K117" s="550"/>
      <c r="L117" s="551"/>
      <c r="M117" s="551"/>
      <c r="N117" s="551"/>
      <c r="O117" s="551"/>
      <c r="P117" s="551"/>
      <c r="Q117" s="552"/>
      <c r="R117" s="552"/>
      <c r="S117" s="552"/>
      <c r="T117" s="552"/>
      <c r="U117" s="527"/>
      <c r="V117" s="527"/>
      <c r="W117" s="527"/>
      <c r="X117" s="527"/>
      <c r="Y117" s="526"/>
      <c r="Z117" s="526"/>
      <c r="AA117" s="526"/>
      <c r="AB117" s="526"/>
      <c r="AC117" s="526"/>
      <c r="AD117" s="526"/>
      <c r="AE117" s="526"/>
      <c r="AF117" s="526"/>
      <c r="AG117" s="526"/>
      <c r="AH117" s="526"/>
      <c r="AI117" s="526"/>
      <c r="AJ117" s="526"/>
      <c r="AK117" s="526"/>
      <c r="AL117" s="526"/>
      <c r="AM117" s="526"/>
      <c r="AN117" s="526"/>
      <c r="AO117" s="526"/>
      <c r="AP117" s="526"/>
      <c r="AQ117" s="526"/>
      <c r="AR117" s="526"/>
      <c r="AS117" s="526"/>
      <c r="AT117" s="526"/>
      <c r="AU117" s="526"/>
      <c r="AV117" s="526"/>
      <c r="AW117" s="526"/>
      <c r="AX117" s="526"/>
      <c r="AY117" s="526"/>
      <c r="AZ117" s="526"/>
      <c r="BA117" s="526"/>
      <c r="BB117" s="526"/>
      <c r="BC117" s="526"/>
      <c r="BD117" s="526"/>
      <c r="BE117" s="526"/>
      <c r="BF117" s="526"/>
      <c r="BG117" s="526"/>
      <c r="BH117" s="526"/>
      <c r="BI117" s="526"/>
      <c r="BJ117" s="526"/>
      <c r="BK117" s="526"/>
      <c r="BL117" s="526"/>
      <c r="BM117" s="526"/>
      <c r="BN117" s="526"/>
      <c r="BO117" s="526"/>
      <c r="BP117" s="526"/>
      <c r="BQ117" s="526"/>
      <c r="BR117" s="526"/>
      <c r="BS117" s="526"/>
      <c r="BT117" s="526"/>
      <c r="BU117" s="526"/>
      <c r="BV117" s="526"/>
      <c r="BW117" s="526"/>
      <c r="BX117" s="526"/>
      <c r="BY117" s="526"/>
      <c r="BZ117" s="526"/>
      <c r="CA117" s="526"/>
      <c r="CB117" s="526"/>
      <c r="CC117" s="526"/>
      <c r="CD117" s="526"/>
      <c r="CE117" s="526"/>
      <c r="CF117" s="526"/>
      <c r="CG117" s="526"/>
      <c r="CH117" s="526"/>
      <c r="CI117" s="526"/>
      <c r="CJ117" s="526"/>
      <c r="CK117" s="526"/>
      <c r="CL117" s="526"/>
      <c r="CM117" s="526"/>
    </row>
    <row r="118" spans="1:24" ht="13.5" thickBot="1">
      <c r="A118" s="188"/>
      <c r="B118" s="742"/>
      <c r="C118" s="743"/>
      <c r="D118" s="743"/>
      <c r="E118" s="743"/>
      <c r="F118" s="744"/>
      <c r="G118" s="190"/>
      <c r="I118" s="554"/>
      <c r="J118" s="554"/>
      <c r="K118" s="554"/>
      <c r="Q118" s="488"/>
      <c r="R118" s="488"/>
      <c r="S118" s="488"/>
      <c r="T118" s="488"/>
      <c r="U118" s="184"/>
      <c r="V118" s="184"/>
      <c r="W118" s="184"/>
      <c r="X118" s="184"/>
    </row>
    <row r="119" spans="1:91" s="197" customFormat="1" ht="15">
      <c r="A119" s="281"/>
      <c r="B119" s="199"/>
      <c r="C119" s="199"/>
      <c r="D119" s="199"/>
      <c r="E119" s="199"/>
      <c r="F119" s="199"/>
      <c r="G119" s="190"/>
      <c r="H119" s="555"/>
      <c r="I119" s="550"/>
      <c r="J119" s="550"/>
      <c r="K119" s="550"/>
      <c r="L119" s="551"/>
      <c r="M119" s="551"/>
      <c r="N119" s="551"/>
      <c r="O119" s="551"/>
      <c r="P119" s="551"/>
      <c r="Q119" s="552"/>
      <c r="R119" s="552"/>
      <c r="S119" s="552"/>
      <c r="T119" s="552"/>
      <c r="U119" s="527"/>
      <c r="V119" s="527"/>
      <c r="W119" s="527"/>
      <c r="X119" s="527"/>
      <c r="Y119" s="526"/>
      <c r="Z119" s="526"/>
      <c r="AA119" s="526"/>
      <c r="AB119" s="526"/>
      <c r="AC119" s="526"/>
      <c r="AD119" s="526"/>
      <c r="AE119" s="526"/>
      <c r="AF119" s="526"/>
      <c r="AG119" s="526"/>
      <c r="AH119" s="526"/>
      <c r="AI119" s="526"/>
      <c r="AJ119" s="526"/>
      <c r="AK119" s="526"/>
      <c r="AL119" s="526"/>
      <c r="AM119" s="526"/>
      <c r="AN119" s="526"/>
      <c r="AO119" s="526"/>
      <c r="AP119" s="526"/>
      <c r="AQ119" s="526"/>
      <c r="AR119" s="526"/>
      <c r="AS119" s="526"/>
      <c r="AT119" s="526"/>
      <c r="AU119" s="526"/>
      <c r="AV119" s="526"/>
      <c r="AW119" s="526"/>
      <c r="AX119" s="526"/>
      <c r="AY119" s="526"/>
      <c r="AZ119" s="526"/>
      <c r="BA119" s="526"/>
      <c r="BB119" s="526"/>
      <c r="BC119" s="526"/>
      <c r="BD119" s="526"/>
      <c r="BE119" s="526"/>
      <c r="BF119" s="526"/>
      <c r="BG119" s="526"/>
      <c r="BH119" s="526"/>
      <c r="BI119" s="526"/>
      <c r="BJ119" s="526"/>
      <c r="BK119" s="526"/>
      <c r="BL119" s="526"/>
      <c r="BM119" s="526"/>
      <c r="BN119" s="526"/>
      <c r="BO119" s="526"/>
      <c r="BP119" s="526"/>
      <c r="BQ119" s="526"/>
      <c r="BR119" s="526"/>
      <c r="BS119" s="526"/>
      <c r="BT119" s="526"/>
      <c r="BU119" s="526"/>
      <c r="BV119" s="526"/>
      <c r="BW119" s="526"/>
      <c r="BX119" s="526"/>
      <c r="BY119" s="526"/>
      <c r="BZ119" s="526"/>
      <c r="CA119" s="526"/>
      <c r="CB119" s="526"/>
      <c r="CC119" s="526"/>
      <c r="CD119" s="526"/>
      <c r="CE119" s="526"/>
      <c r="CF119" s="526"/>
      <c r="CG119" s="526"/>
      <c r="CH119" s="526"/>
      <c r="CI119" s="526"/>
      <c r="CJ119" s="526"/>
      <c r="CK119" s="526"/>
      <c r="CL119" s="526"/>
      <c r="CM119" s="526"/>
    </row>
    <row r="120" spans="1:24" ht="12.75">
      <c r="A120" s="188"/>
      <c r="B120" s="766" t="s">
        <v>954</v>
      </c>
      <c r="C120" s="672"/>
      <c r="D120" s="672"/>
      <c r="E120" s="672"/>
      <c r="F120" s="672"/>
      <c r="G120" s="190"/>
      <c r="I120" s="554"/>
      <c r="J120" s="554"/>
      <c r="K120" s="554"/>
      <c r="Q120" s="488"/>
      <c r="R120" s="488"/>
      <c r="S120" s="488"/>
      <c r="T120" s="488"/>
      <c r="U120" s="184"/>
      <c r="V120" s="184"/>
      <c r="W120" s="184"/>
      <c r="X120" s="184"/>
    </row>
    <row r="121" spans="1:24" ht="12.75">
      <c r="A121" s="188"/>
      <c r="B121" s="672"/>
      <c r="C121" s="672"/>
      <c r="D121" s="672"/>
      <c r="E121" s="672"/>
      <c r="F121" s="672"/>
      <c r="G121" s="190"/>
      <c r="I121" s="554"/>
      <c r="J121" s="554"/>
      <c r="K121" s="554"/>
      <c r="Q121" s="488"/>
      <c r="R121" s="488"/>
      <c r="S121" s="488"/>
      <c r="T121" s="488"/>
      <c r="U121" s="184"/>
      <c r="V121" s="184"/>
      <c r="W121" s="184"/>
      <c r="X121" s="184"/>
    </row>
    <row r="122" spans="1:24" ht="12.75">
      <c r="A122" s="188"/>
      <c r="B122" s="752"/>
      <c r="C122" s="752"/>
      <c r="D122" s="752"/>
      <c r="E122" s="752"/>
      <c r="F122" s="752"/>
      <c r="G122" s="190"/>
      <c r="I122" s="554"/>
      <c r="J122" s="554"/>
      <c r="K122" s="554"/>
      <c r="Q122" s="488"/>
      <c r="R122" s="488"/>
      <c r="S122" s="488"/>
      <c r="T122" s="488"/>
      <c r="U122" s="184"/>
      <c r="V122" s="184"/>
      <c r="W122" s="184"/>
      <c r="X122" s="184"/>
    </row>
    <row r="123" spans="1:91" s="197" customFormat="1" ht="15">
      <c r="A123" s="188"/>
      <c r="B123" s="738" t="s">
        <v>22</v>
      </c>
      <c r="C123" s="672"/>
      <c r="D123" s="672"/>
      <c r="E123" s="672"/>
      <c r="F123" s="672"/>
      <c r="G123" s="190"/>
      <c r="H123" s="555"/>
      <c r="I123" s="550"/>
      <c r="J123" s="550"/>
      <c r="K123" s="550"/>
      <c r="L123" s="551"/>
      <c r="M123" s="551"/>
      <c r="N123" s="551"/>
      <c r="O123" s="551"/>
      <c r="P123" s="551"/>
      <c r="Q123" s="552"/>
      <c r="R123" s="552"/>
      <c r="S123" s="552"/>
      <c r="T123" s="552"/>
      <c r="U123" s="527"/>
      <c r="V123" s="527"/>
      <c r="W123" s="527"/>
      <c r="X123" s="527"/>
      <c r="Y123" s="526"/>
      <c r="Z123" s="526"/>
      <c r="AA123" s="526"/>
      <c r="AB123" s="526"/>
      <c r="AC123" s="526"/>
      <c r="AD123" s="526"/>
      <c r="AE123" s="526"/>
      <c r="AF123" s="526"/>
      <c r="AG123" s="526"/>
      <c r="AH123" s="526"/>
      <c r="AI123" s="526"/>
      <c r="AJ123" s="526"/>
      <c r="AK123" s="526"/>
      <c r="AL123" s="526"/>
      <c r="AM123" s="526"/>
      <c r="AN123" s="526"/>
      <c r="AO123" s="526"/>
      <c r="AP123" s="526"/>
      <c r="AQ123" s="526"/>
      <c r="AR123" s="526"/>
      <c r="AS123" s="526"/>
      <c r="AT123" s="526"/>
      <c r="AU123" s="526"/>
      <c r="AV123" s="526"/>
      <c r="AW123" s="526"/>
      <c r="AX123" s="526"/>
      <c r="AY123" s="526"/>
      <c r="AZ123" s="526"/>
      <c r="BA123" s="526"/>
      <c r="BB123" s="526"/>
      <c r="BC123" s="526"/>
      <c r="BD123" s="526"/>
      <c r="BE123" s="526"/>
      <c r="BF123" s="526"/>
      <c r="BG123" s="526"/>
      <c r="BH123" s="526"/>
      <c r="BI123" s="526"/>
      <c r="BJ123" s="526"/>
      <c r="BK123" s="526"/>
      <c r="BL123" s="526"/>
      <c r="BM123" s="526"/>
      <c r="BN123" s="526"/>
      <c r="BO123" s="526"/>
      <c r="BP123" s="526"/>
      <c r="BQ123" s="526"/>
      <c r="BR123" s="526"/>
      <c r="BS123" s="526"/>
      <c r="BT123" s="526"/>
      <c r="BU123" s="526"/>
      <c r="BV123" s="526"/>
      <c r="BW123" s="526"/>
      <c r="BX123" s="526"/>
      <c r="BY123" s="526"/>
      <c r="BZ123" s="526"/>
      <c r="CA123" s="526"/>
      <c r="CB123" s="526"/>
      <c r="CC123" s="526"/>
      <c r="CD123" s="526"/>
      <c r="CE123" s="526"/>
      <c r="CF123" s="526"/>
      <c r="CG123" s="526"/>
      <c r="CH123" s="526"/>
      <c r="CI123" s="526"/>
      <c r="CJ123" s="526"/>
      <c r="CK123" s="526"/>
      <c r="CL123" s="526"/>
      <c r="CM123" s="526"/>
    </row>
    <row r="124" spans="1:91" s="197" customFormat="1" ht="15">
      <c r="A124" s="188"/>
      <c r="B124" s="672"/>
      <c r="C124" s="672"/>
      <c r="D124" s="672"/>
      <c r="E124" s="672"/>
      <c r="F124" s="672"/>
      <c r="G124" s="190"/>
      <c r="H124" s="555"/>
      <c r="I124" s="550"/>
      <c r="J124" s="550"/>
      <c r="K124" s="550"/>
      <c r="L124" s="551"/>
      <c r="M124" s="551"/>
      <c r="N124" s="551"/>
      <c r="O124" s="551"/>
      <c r="P124" s="551"/>
      <c r="Q124" s="552"/>
      <c r="R124" s="552"/>
      <c r="S124" s="552"/>
      <c r="T124" s="552"/>
      <c r="U124" s="527"/>
      <c r="V124" s="527"/>
      <c r="W124" s="527"/>
      <c r="X124" s="527"/>
      <c r="Y124" s="526"/>
      <c r="Z124" s="526"/>
      <c r="AA124" s="526"/>
      <c r="AB124" s="526"/>
      <c r="AC124" s="526"/>
      <c r="AD124" s="526"/>
      <c r="AE124" s="526"/>
      <c r="AF124" s="526"/>
      <c r="AG124" s="526"/>
      <c r="AH124" s="526"/>
      <c r="AI124" s="526"/>
      <c r="AJ124" s="526"/>
      <c r="AK124" s="526"/>
      <c r="AL124" s="526"/>
      <c r="AM124" s="526"/>
      <c r="AN124" s="526"/>
      <c r="AO124" s="526"/>
      <c r="AP124" s="526"/>
      <c r="AQ124" s="526"/>
      <c r="AR124" s="526"/>
      <c r="AS124" s="526"/>
      <c r="AT124" s="526"/>
      <c r="AU124" s="526"/>
      <c r="AV124" s="526"/>
      <c r="AW124" s="526"/>
      <c r="AX124" s="526"/>
      <c r="AY124" s="526"/>
      <c r="AZ124" s="526"/>
      <c r="BA124" s="526"/>
      <c r="BB124" s="526"/>
      <c r="BC124" s="526"/>
      <c r="BD124" s="526"/>
      <c r="BE124" s="526"/>
      <c r="BF124" s="526"/>
      <c r="BG124" s="526"/>
      <c r="BH124" s="526"/>
      <c r="BI124" s="526"/>
      <c r="BJ124" s="526"/>
      <c r="BK124" s="526"/>
      <c r="BL124" s="526"/>
      <c r="BM124" s="526"/>
      <c r="BN124" s="526"/>
      <c r="BO124" s="526"/>
      <c r="BP124" s="526"/>
      <c r="BQ124" s="526"/>
      <c r="BR124" s="526"/>
      <c r="BS124" s="526"/>
      <c r="BT124" s="526"/>
      <c r="BU124" s="526"/>
      <c r="BV124" s="526"/>
      <c r="BW124" s="526"/>
      <c r="BX124" s="526"/>
      <c r="BY124" s="526"/>
      <c r="BZ124" s="526"/>
      <c r="CA124" s="526"/>
      <c r="CB124" s="526"/>
      <c r="CC124" s="526"/>
      <c r="CD124" s="526"/>
      <c r="CE124" s="526"/>
      <c r="CF124" s="526"/>
      <c r="CG124" s="526"/>
      <c r="CH124" s="526"/>
      <c r="CI124" s="526"/>
      <c r="CJ124" s="526"/>
      <c r="CK124" s="526"/>
      <c r="CL124" s="526"/>
      <c r="CM124" s="526"/>
    </row>
    <row r="125" spans="1:91" s="197" customFormat="1" ht="15">
      <c r="A125" s="188"/>
      <c r="B125" s="672"/>
      <c r="C125" s="672"/>
      <c r="D125" s="672"/>
      <c r="E125" s="672"/>
      <c r="F125" s="672"/>
      <c r="G125" s="190"/>
      <c r="H125" s="555"/>
      <c r="I125" s="550"/>
      <c r="J125" s="550"/>
      <c r="K125" s="550"/>
      <c r="L125" s="551"/>
      <c r="M125" s="551"/>
      <c r="N125" s="551"/>
      <c r="O125" s="551"/>
      <c r="P125" s="551"/>
      <c r="Q125" s="552"/>
      <c r="R125" s="552"/>
      <c r="S125" s="552"/>
      <c r="T125" s="552"/>
      <c r="U125" s="527"/>
      <c r="V125" s="527"/>
      <c r="W125" s="527"/>
      <c r="X125" s="527"/>
      <c r="Y125" s="526"/>
      <c r="Z125" s="526"/>
      <c r="AA125" s="526"/>
      <c r="AB125" s="526"/>
      <c r="AC125" s="526"/>
      <c r="AD125" s="526"/>
      <c r="AE125" s="526"/>
      <c r="AF125" s="526"/>
      <c r="AG125" s="526"/>
      <c r="AH125" s="526"/>
      <c r="AI125" s="526"/>
      <c r="AJ125" s="526"/>
      <c r="AK125" s="526"/>
      <c r="AL125" s="526"/>
      <c r="AM125" s="526"/>
      <c r="AN125" s="526"/>
      <c r="AO125" s="526"/>
      <c r="AP125" s="526"/>
      <c r="AQ125" s="526"/>
      <c r="AR125" s="526"/>
      <c r="AS125" s="526"/>
      <c r="AT125" s="526"/>
      <c r="AU125" s="526"/>
      <c r="AV125" s="526"/>
      <c r="AW125" s="526"/>
      <c r="AX125" s="526"/>
      <c r="AY125" s="526"/>
      <c r="AZ125" s="526"/>
      <c r="BA125" s="526"/>
      <c r="BB125" s="526"/>
      <c r="BC125" s="526"/>
      <c r="BD125" s="526"/>
      <c r="BE125" s="526"/>
      <c r="BF125" s="526"/>
      <c r="BG125" s="526"/>
      <c r="BH125" s="526"/>
      <c r="BI125" s="526"/>
      <c r="BJ125" s="526"/>
      <c r="BK125" s="526"/>
      <c r="BL125" s="526"/>
      <c r="BM125" s="526"/>
      <c r="BN125" s="526"/>
      <c r="BO125" s="526"/>
      <c r="BP125" s="526"/>
      <c r="BQ125" s="526"/>
      <c r="BR125" s="526"/>
      <c r="BS125" s="526"/>
      <c r="BT125" s="526"/>
      <c r="BU125" s="526"/>
      <c r="BV125" s="526"/>
      <c r="BW125" s="526"/>
      <c r="BX125" s="526"/>
      <c r="BY125" s="526"/>
      <c r="BZ125" s="526"/>
      <c r="CA125" s="526"/>
      <c r="CB125" s="526"/>
      <c r="CC125" s="526"/>
      <c r="CD125" s="526"/>
      <c r="CE125" s="526"/>
      <c r="CF125" s="526"/>
      <c r="CG125" s="526"/>
      <c r="CH125" s="526"/>
      <c r="CI125" s="526"/>
      <c r="CJ125" s="526"/>
      <c r="CK125" s="526"/>
      <c r="CL125" s="526"/>
      <c r="CM125" s="526"/>
    </row>
    <row r="126" spans="1:91" s="197" customFormat="1" ht="15">
      <c r="A126" s="188"/>
      <c r="B126" s="672"/>
      <c r="C126" s="672"/>
      <c r="D126" s="672"/>
      <c r="E126" s="672"/>
      <c r="F126" s="672"/>
      <c r="G126" s="190"/>
      <c r="H126" s="555"/>
      <c r="I126" s="550"/>
      <c r="J126" s="550"/>
      <c r="K126" s="550"/>
      <c r="L126" s="551"/>
      <c r="M126" s="551"/>
      <c r="N126" s="551"/>
      <c r="O126" s="551"/>
      <c r="P126" s="551"/>
      <c r="Q126" s="552"/>
      <c r="R126" s="552"/>
      <c r="S126" s="552"/>
      <c r="T126" s="552"/>
      <c r="U126" s="527"/>
      <c r="V126" s="527"/>
      <c r="W126" s="527"/>
      <c r="X126" s="527"/>
      <c r="Y126" s="526"/>
      <c r="Z126" s="526"/>
      <c r="AA126" s="526"/>
      <c r="AB126" s="526"/>
      <c r="AC126" s="526"/>
      <c r="AD126" s="526"/>
      <c r="AE126" s="526"/>
      <c r="AF126" s="526"/>
      <c r="AG126" s="526"/>
      <c r="AH126" s="526"/>
      <c r="AI126" s="526"/>
      <c r="AJ126" s="526"/>
      <c r="AK126" s="526"/>
      <c r="AL126" s="526"/>
      <c r="AM126" s="526"/>
      <c r="AN126" s="526"/>
      <c r="AO126" s="526"/>
      <c r="AP126" s="526"/>
      <c r="AQ126" s="526"/>
      <c r="AR126" s="526"/>
      <c r="AS126" s="526"/>
      <c r="AT126" s="526"/>
      <c r="AU126" s="526"/>
      <c r="AV126" s="526"/>
      <c r="AW126" s="526"/>
      <c r="AX126" s="526"/>
      <c r="AY126" s="526"/>
      <c r="AZ126" s="526"/>
      <c r="BA126" s="526"/>
      <c r="BB126" s="526"/>
      <c r="BC126" s="526"/>
      <c r="BD126" s="526"/>
      <c r="BE126" s="526"/>
      <c r="BF126" s="526"/>
      <c r="BG126" s="526"/>
      <c r="BH126" s="526"/>
      <c r="BI126" s="526"/>
      <c r="BJ126" s="526"/>
      <c r="BK126" s="526"/>
      <c r="BL126" s="526"/>
      <c r="BM126" s="526"/>
      <c r="BN126" s="526"/>
      <c r="BO126" s="526"/>
      <c r="BP126" s="526"/>
      <c r="BQ126" s="526"/>
      <c r="BR126" s="526"/>
      <c r="BS126" s="526"/>
      <c r="BT126" s="526"/>
      <c r="BU126" s="526"/>
      <c r="BV126" s="526"/>
      <c r="BW126" s="526"/>
      <c r="BX126" s="526"/>
      <c r="BY126" s="526"/>
      <c r="BZ126" s="526"/>
      <c r="CA126" s="526"/>
      <c r="CB126" s="526"/>
      <c r="CC126" s="526"/>
      <c r="CD126" s="526"/>
      <c r="CE126" s="526"/>
      <c r="CF126" s="526"/>
      <c r="CG126" s="526"/>
      <c r="CH126" s="526"/>
      <c r="CI126" s="526"/>
      <c r="CJ126" s="526"/>
      <c r="CK126" s="526"/>
      <c r="CL126" s="526"/>
      <c r="CM126" s="526"/>
    </row>
    <row r="127" spans="1:91" s="197" customFormat="1" ht="15">
      <c r="A127" s="188"/>
      <c r="B127" s="672"/>
      <c r="C127" s="672"/>
      <c r="D127" s="672"/>
      <c r="E127" s="672"/>
      <c r="F127" s="672"/>
      <c r="G127" s="190"/>
      <c r="H127" s="555"/>
      <c r="I127" s="550"/>
      <c r="J127" s="550"/>
      <c r="K127" s="550"/>
      <c r="L127" s="551"/>
      <c r="M127" s="551"/>
      <c r="N127" s="551"/>
      <c r="O127" s="551"/>
      <c r="P127" s="551"/>
      <c r="Q127" s="552"/>
      <c r="R127" s="552"/>
      <c r="S127" s="552"/>
      <c r="T127" s="552"/>
      <c r="U127" s="527"/>
      <c r="V127" s="527"/>
      <c r="W127" s="527"/>
      <c r="X127" s="527"/>
      <c r="Y127" s="526"/>
      <c r="Z127" s="526"/>
      <c r="AA127" s="526"/>
      <c r="AB127" s="526"/>
      <c r="AC127" s="526"/>
      <c r="AD127" s="526"/>
      <c r="AE127" s="526"/>
      <c r="AF127" s="526"/>
      <c r="AG127" s="526"/>
      <c r="AH127" s="526"/>
      <c r="AI127" s="526"/>
      <c r="AJ127" s="526"/>
      <c r="AK127" s="526"/>
      <c r="AL127" s="526"/>
      <c r="AM127" s="526"/>
      <c r="AN127" s="526"/>
      <c r="AO127" s="526"/>
      <c r="AP127" s="526"/>
      <c r="AQ127" s="526"/>
      <c r="AR127" s="526"/>
      <c r="AS127" s="526"/>
      <c r="AT127" s="526"/>
      <c r="AU127" s="526"/>
      <c r="AV127" s="526"/>
      <c r="AW127" s="526"/>
      <c r="AX127" s="526"/>
      <c r="AY127" s="526"/>
      <c r="AZ127" s="526"/>
      <c r="BA127" s="526"/>
      <c r="BB127" s="526"/>
      <c r="BC127" s="526"/>
      <c r="BD127" s="526"/>
      <c r="BE127" s="526"/>
      <c r="BF127" s="526"/>
      <c r="BG127" s="526"/>
      <c r="BH127" s="526"/>
      <c r="BI127" s="526"/>
      <c r="BJ127" s="526"/>
      <c r="BK127" s="526"/>
      <c r="BL127" s="526"/>
      <c r="BM127" s="526"/>
      <c r="BN127" s="526"/>
      <c r="BO127" s="526"/>
      <c r="BP127" s="526"/>
      <c r="BQ127" s="526"/>
      <c r="BR127" s="526"/>
      <c r="BS127" s="526"/>
      <c r="BT127" s="526"/>
      <c r="BU127" s="526"/>
      <c r="BV127" s="526"/>
      <c r="BW127" s="526"/>
      <c r="BX127" s="526"/>
      <c r="BY127" s="526"/>
      <c r="BZ127" s="526"/>
      <c r="CA127" s="526"/>
      <c r="CB127" s="526"/>
      <c r="CC127" s="526"/>
      <c r="CD127" s="526"/>
      <c r="CE127" s="526"/>
      <c r="CF127" s="526"/>
      <c r="CG127" s="526"/>
      <c r="CH127" s="526"/>
      <c r="CI127" s="526"/>
      <c r="CJ127" s="526"/>
      <c r="CK127" s="526"/>
      <c r="CL127" s="526"/>
      <c r="CM127" s="526"/>
    </row>
    <row r="128" spans="1:24" ht="12.75">
      <c r="A128" s="188"/>
      <c r="B128" s="672"/>
      <c r="C128" s="672"/>
      <c r="D128" s="672"/>
      <c r="E128" s="672"/>
      <c r="F128" s="672"/>
      <c r="G128" s="190"/>
      <c r="I128" s="554"/>
      <c r="J128" s="554"/>
      <c r="K128" s="554"/>
      <c r="Q128" s="488"/>
      <c r="R128" s="488"/>
      <c r="S128" s="488"/>
      <c r="T128" s="488"/>
      <c r="U128" s="184"/>
      <c r="V128" s="184"/>
      <c r="W128" s="184"/>
      <c r="X128" s="184"/>
    </row>
    <row r="129" spans="1:24" ht="15.75">
      <c r="A129" s="188"/>
      <c r="B129" s="252" t="s">
        <v>1051</v>
      </c>
      <c r="C129" s="738" t="s">
        <v>19</v>
      </c>
      <c r="D129" s="738"/>
      <c r="E129" s="189"/>
      <c r="F129" s="507" t="str">
        <f>IF(J129&gt;0,"Yes","No")</f>
        <v>Yes</v>
      </c>
      <c r="G129" s="190"/>
      <c r="I129" s="554"/>
      <c r="J129" s="554">
        <f>SUM(D143:D147)</f>
        <v>889</v>
      </c>
      <c r="K129" s="554"/>
      <c r="Q129" s="488"/>
      <c r="R129" s="488"/>
      <c r="S129" s="488"/>
      <c r="T129" s="488"/>
      <c r="U129" s="184"/>
      <c r="V129" s="184"/>
      <c r="W129" s="184"/>
      <c r="X129" s="184"/>
    </row>
    <row r="130" spans="1:24" ht="15.75">
      <c r="A130" s="188"/>
      <c r="B130" s="252"/>
      <c r="C130" s="672"/>
      <c r="D130" s="672"/>
      <c r="E130" s="189"/>
      <c r="F130" s="189"/>
      <c r="G130" s="190"/>
      <c r="I130" s="554"/>
      <c r="J130" s="554"/>
      <c r="K130" s="554"/>
      <c r="Q130" s="488"/>
      <c r="R130" s="488"/>
      <c r="S130" s="488"/>
      <c r="T130" s="488"/>
      <c r="U130" s="184"/>
      <c r="V130" s="184"/>
      <c r="W130" s="184"/>
      <c r="X130" s="184"/>
    </row>
    <row r="131" spans="1:24" ht="12.75" customHeight="1">
      <c r="A131" s="188"/>
      <c r="B131" s="253"/>
      <c r="C131" s="203"/>
      <c r="D131" s="189"/>
      <c r="E131" s="189"/>
      <c r="F131" s="189"/>
      <c r="G131" s="190"/>
      <c r="I131" s="554"/>
      <c r="J131" s="554"/>
      <c r="K131" s="554"/>
      <c r="Q131" s="488"/>
      <c r="R131" s="488"/>
      <c r="S131" s="488"/>
      <c r="T131" s="488"/>
      <c r="U131" s="184"/>
      <c r="V131" s="184"/>
      <c r="W131" s="184"/>
      <c r="X131" s="184"/>
    </row>
    <row r="132" spans="1:24" ht="15.75" customHeight="1">
      <c r="A132" s="188"/>
      <c r="B132" s="252" t="s">
        <v>1052</v>
      </c>
      <c r="C132" s="738" t="s">
        <v>20</v>
      </c>
      <c r="D132" s="672"/>
      <c r="E132" s="280"/>
      <c r="F132" s="508" t="str">
        <f>IF('CTB Form'!M52+'CTB Form'!M54+J132&gt;0,"Yes","No")</f>
        <v>Yes</v>
      </c>
      <c r="G132" s="190"/>
      <c r="I132" s="554"/>
      <c r="J132" s="584">
        <f>SUM(E141:F147)</f>
        <v>1162</v>
      </c>
      <c r="K132" s="554"/>
      <c r="Q132" s="488"/>
      <c r="R132" s="488"/>
      <c r="S132" s="488"/>
      <c r="T132" s="488"/>
      <c r="U132" s="184"/>
      <c r="V132" s="184"/>
      <c r="W132" s="184"/>
      <c r="X132" s="184"/>
    </row>
    <row r="133" spans="1:24" ht="15.75" customHeight="1">
      <c r="A133" s="188"/>
      <c r="B133" s="252"/>
      <c r="C133" s="672"/>
      <c r="D133" s="672"/>
      <c r="E133" s="280"/>
      <c r="F133" s="280"/>
      <c r="G133" s="190"/>
      <c r="I133" s="554"/>
      <c r="J133" s="554"/>
      <c r="K133" s="554"/>
      <c r="Q133" s="488"/>
      <c r="R133" s="488"/>
      <c r="S133" s="488"/>
      <c r="T133" s="488"/>
      <c r="U133" s="184"/>
      <c r="V133" s="184"/>
      <c r="W133" s="184"/>
      <c r="X133" s="184"/>
    </row>
    <row r="134" spans="1:24" ht="12.75">
      <c r="A134" s="188"/>
      <c r="B134" s="189"/>
      <c r="C134" s="189"/>
      <c r="D134" s="189"/>
      <c r="E134" s="189"/>
      <c r="F134" s="189"/>
      <c r="G134" s="190"/>
      <c r="I134" s="554"/>
      <c r="J134" s="554"/>
      <c r="K134" s="554"/>
      <c r="Q134" s="488"/>
      <c r="R134" s="488"/>
      <c r="S134" s="488"/>
      <c r="T134" s="488"/>
      <c r="U134" s="184"/>
      <c r="V134" s="184"/>
      <c r="W134" s="184"/>
      <c r="X134" s="184"/>
    </row>
    <row r="135" spans="1:24" ht="12.75">
      <c r="A135" s="188"/>
      <c r="B135" s="738" t="s">
        <v>1053</v>
      </c>
      <c r="C135" s="672"/>
      <c r="D135" s="672"/>
      <c r="E135" s="672"/>
      <c r="F135" s="672"/>
      <c r="G135" s="190"/>
      <c r="I135" s="554">
        <f>IF(OR(AND(NOT((ISNUMBER($E$142))),$K$144&lt;10,$K$144&gt;0,$K$145&gt;0),AND(ISNUMBER($E$142),$K$144&lt;10,$K$144&gt;0,$K$145&gt;0,$E$142&lt;&gt;$K$145)),1,0)</f>
        <v>0</v>
      </c>
      <c r="J135" s="554"/>
      <c r="K135" s="554"/>
      <c r="Q135" s="488"/>
      <c r="R135" s="488"/>
      <c r="S135" s="488"/>
      <c r="T135" s="488"/>
      <c r="U135" s="184"/>
      <c r="V135" s="184"/>
      <c r="W135" s="184"/>
      <c r="X135" s="184"/>
    </row>
    <row r="136" spans="1:24" ht="12.75">
      <c r="A136" s="188"/>
      <c r="B136" s="738"/>
      <c r="C136" s="672"/>
      <c r="D136" s="672"/>
      <c r="E136" s="672"/>
      <c r="F136" s="672"/>
      <c r="G136" s="190"/>
      <c r="I136" s="554"/>
      <c r="J136" s="554"/>
      <c r="K136" s="554"/>
      <c r="Q136" s="488"/>
      <c r="R136" s="488"/>
      <c r="S136" s="488"/>
      <c r="T136" s="488"/>
      <c r="U136" s="184"/>
      <c r="V136" s="184"/>
      <c r="W136" s="184"/>
      <c r="X136" s="184"/>
    </row>
    <row r="137" spans="1:24" ht="12.75">
      <c r="A137" s="188"/>
      <c r="B137" s="672"/>
      <c r="C137" s="672"/>
      <c r="D137" s="672"/>
      <c r="E137" s="672"/>
      <c r="F137" s="672"/>
      <c r="G137" s="190"/>
      <c r="I137" s="554"/>
      <c r="J137" s="554"/>
      <c r="K137" s="554"/>
      <c r="Q137" s="488"/>
      <c r="R137" s="488"/>
      <c r="S137" s="488"/>
      <c r="T137" s="488"/>
      <c r="U137" s="184"/>
      <c r="V137" s="184"/>
      <c r="W137" s="184"/>
      <c r="X137" s="184"/>
    </row>
    <row r="138" spans="1:24" ht="13.5" thickBot="1">
      <c r="A138" s="188"/>
      <c r="B138" s="189"/>
      <c r="C138" s="189"/>
      <c r="D138" s="204" t="s">
        <v>1054</v>
      </c>
      <c r="E138" s="792" t="s">
        <v>1055</v>
      </c>
      <c r="F138" s="792"/>
      <c r="G138" s="190"/>
      <c r="I138" s="554"/>
      <c r="J138" s="554"/>
      <c r="K138" s="554"/>
      <c r="Q138" s="488"/>
      <c r="R138" s="488"/>
      <c r="S138" s="488"/>
      <c r="T138" s="488"/>
      <c r="U138" s="184"/>
      <c r="V138" s="184"/>
      <c r="W138" s="184"/>
      <c r="X138" s="184"/>
    </row>
    <row r="139" spans="1:24" ht="63.75" customHeight="1" thickBot="1">
      <c r="A139" s="188"/>
      <c r="B139" s="189"/>
      <c r="C139" s="205" t="s">
        <v>1056</v>
      </c>
      <c r="D139" s="577" t="s">
        <v>11</v>
      </c>
      <c r="E139" s="753" t="s">
        <v>12</v>
      </c>
      <c r="F139" s="754"/>
      <c r="G139" s="190"/>
      <c r="I139" s="554"/>
      <c r="J139" s="554"/>
      <c r="K139" s="554"/>
      <c r="Q139" s="488"/>
      <c r="R139" s="488"/>
      <c r="S139" s="488"/>
      <c r="T139" s="488"/>
      <c r="U139" s="184"/>
      <c r="V139" s="184"/>
      <c r="W139" s="184"/>
      <c r="X139" s="184"/>
    </row>
    <row r="140" spans="1:24" ht="13.5" thickBot="1">
      <c r="A140" s="188"/>
      <c r="B140" s="189"/>
      <c r="C140" s="255"/>
      <c r="D140" s="189"/>
      <c r="E140" s="189"/>
      <c r="F140" s="190"/>
      <c r="G140" s="190"/>
      <c r="H140" s="548"/>
      <c r="I140" s="585"/>
      <c r="J140" s="586" t="s">
        <v>571</v>
      </c>
      <c r="K140" s="587">
        <f>'CTB Form'!M46</f>
        <v>889</v>
      </c>
      <c r="Q140" s="488"/>
      <c r="R140" s="488"/>
      <c r="S140" s="488"/>
      <c r="T140" s="488"/>
      <c r="U140" s="184"/>
      <c r="V140" s="184"/>
      <c r="W140" s="184"/>
      <c r="X140" s="184"/>
    </row>
    <row r="141" spans="1:24" ht="16.5" thickBot="1">
      <c r="A141" s="188"/>
      <c r="B141" s="254" t="s">
        <v>1057</v>
      </c>
      <c r="C141" s="581" t="s">
        <v>68</v>
      </c>
      <c r="D141" s="582"/>
      <c r="E141" s="771">
        <f>K141</f>
        <v>0</v>
      </c>
      <c r="F141" s="772"/>
      <c r="G141" s="190"/>
      <c r="H141" s="548"/>
      <c r="I141" s="585"/>
      <c r="J141" s="588" t="s">
        <v>433</v>
      </c>
      <c r="K141" s="589">
        <f>'CTB Form'!M52</f>
        <v>0</v>
      </c>
      <c r="Q141" s="488"/>
      <c r="R141" s="488"/>
      <c r="S141" s="488"/>
      <c r="T141" s="488"/>
      <c r="U141" s="184"/>
      <c r="V141" s="184"/>
      <c r="W141" s="184"/>
      <c r="X141" s="184"/>
    </row>
    <row r="142" spans="1:24" ht="16.5" thickBot="1">
      <c r="A142" s="188"/>
      <c r="B142" s="254" t="s">
        <v>1058</v>
      </c>
      <c r="C142" s="278" t="s">
        <v>69</v>
      </c>
      <c r="D142" s="582"/>
      <c r="E142" s="769"/>
      <c r="F142" s="770"/>
      <c r="G142" s="190"/>
      <c r="H142" s="548"/>
      <c r="I142" s="585"/>
      <c r="J142" s="586" t="s">
        <v>572</v>
      </c>
      <c r="K142" s="587">
        <f>IF('CTB Form'!C54&lt;9.5,'CTB Form'!M52+'CTB Form'!M54,'CTB Form'!M52)</f>
        <v>0</v>
      </c>
      <c r="Q142" s="488"/>
      <c r="R142" s="488"/>
      <c r="S142" s="488"/>
      <c r="T142" s="488"/>
      <c r="U142" s="184"/>
      <c r="V142" s="184"/>
      <c r="W142" s="184"/>
      <c r="X142" s="184"/>
    </row>
    <row r="143" spans="1:24" ht="16.5" thickBot="1">
      <c r="A143" s="188"/>
      <c r="B143" s="254" t="s">
        <v>1059</v>
      </c>
      <c r="C143" s="278" t="s">
        <v>429</v>
      </c>
      <c r="D143" s="592">
        <v>889</v>
      </c>
      <c r="E143" s="773">
        <f>K143</f>
        <v>1162</v>
      </c>
      <c r="F143" s="774"/>
      <c r="G143" s="190"/>
      <c r="H143" s="548"/>
      <c r="I143" s="585"/>
      <c r="J143" s="586" t="s">
        <v>434</v>
      </c>
      <c r="K143" s="587">
        <f>IF(K144=10,K145,0)</f>
        <v>1162</v>
      </c>
      <c r="Q143" s="488"/>
      <c r="R143" s="488"/>
      <c r="S143" s="488"/>
      <c r="T143" s="488"/>
      <c r="U143" s="184"/>
      <c r="V143" s="184"/>
      <c r="W143" s="184"/>
      <c r="X143" s="184"/>
    </row>
    <row r="144" spans="1:24" ht="16.5" thickBot="1">
      <c r="A144" s="188"/>
      <c r="B144" s="254" t="s">
        <v>1061</v>
      </c>
      <c r="C144" s="278" t="s">
        <v>432</v>
      </c>
      <c r="D144" s="592"/>
      <c r="E144" s="755"/>
      <c r="F144" s="756"/>
      <c r="G144" s="190"/>
      <c r="H144" s="548"/>
      <c r="I144" s="585"/>
      <c r="J144" s="586" t="s">
        <v>573</v>
      </c>
      <c r="K144" s="590">
        <f>'CTB Form'!C54</f>
        <v>10</v>
      </c>
      <c r="Q144" s="488"/>
      <c r="R144" s="488"/>
      <c r="S144" s="488"/>
      <c r="T144" s="488"/>
      <c r="U144" s="184"/>
      <c r="V144" s="184"/>
      <c r="W144" s="184"/>
      <c r="X144" s="184"/>
    </row>
    <row r="145" spans="1:24" ht="16.5" thickBot="1">
      <c r="A145" s="188"/>
      <c r="B145" s="254" t="s">
        <v>1063</v>
      </c>
      <c r="C145" s="278" t="s">
        <v>1060</v>
      </c>
      <c r="D145" s="592"/>
      <c r="E145" s="755"/>
      <c r="F145" s="756"/>
      <c r="G145" s="190"/>
      <c r="H145" s="548"/>
      <c r="I145" s="585"/>
      <c r="J145" s="586" t="s">
        <v>574</v>
      </c>
      <c r="K145" s="587">
        <f>'CTB Form'!M54</f>
        <v>1162</v>
      </c>
      <c r="Q145" s="488"/>
      <c r="R145" s="488"/>
      <c r="S145" s="488"/>
      <c r="T145" s="488"/>
      <c r="U145" s="184"/>
      <c r="V145" s="184"/>
      <c r="W145" s="184"/>
      <c r="X145" s="184"/>
    </row>
    <row r="146" spans="1:24" ht="16.5" thickBot="1">
      <c r="A146" s="188"/>
      <c r="B146" s="254" t="s">
        <v>430</v>
      </c>
      <c r="C146" s="278" t="s">
        <v>1062</v>
      </c>
      <c r="D146" s="592"/>
      <c r="E146" s="755"/>
      <c r="F146" s="756"/>
      <c r="G146" s="256"/>
      <c r="I146" s="554"/>
      <c r="J146" s="554"/>
      <c r="K146" s="554"/>
      <c r="Q146" s="488"/>
      <c r="R146" s="488"/>
      <c r="S146" s="488"/>
      <c r="T146" s="488"/>
      <c r="U146" s="184"/>
      <c r="V146" s="184"/>
      <c r="W146" s="184"/>
      <c r="X146" s="184"/>
    </row>
    <row r="147" spans="1:24" ht="16.5" thickBot="1">
      <c r="A147" s="188"/>
      <c r="B147" s="254" t="s">
        <v>431</v>
      </c>
      <c r="C147" s="279" t="s">
        <v>1064</v>
      </c>
      <c r="D147" s="592"/>
      <c r="E147" s="755"/>
      <c r="F147" s="756"/>
      <c r="G147" s="256"/>
      <c r="I147" s="554"/>
      <c r="J147" s="554"/>
      <c r="K147" s="554"/>
      <c r="Q147" s="488"/>
      <c r="R147" s="488"/>
      <c r="S147" s="488"/>
      <c r="T147" s="488"/>
      <c r="U147" s="184"/>
      <c r="V147" s="184"/>
      <c r="W147" s="184"/>
      <c r="X147" s="184"/>
    </row>
    <row r="148" spans="1:24" ht="15.75" thickBot="1">
      <c r="A148" s="188"/>
      <c r="B148" s="189"/>
      <c r="C148" s="207"/>
      <c r="D148" s="207"/>
      <c r="E148" s="207"/>
      <c r="F148" s="271"/>
      <c r="G148" s="190"/>
      <c r="I148" s="554"/>
      <c r="J148" s="554"/>
      <c r="K148" s="554"/>
      <c r="Q148" s="488"/>
      <c r="R148" s="488"/>
      <c r="S148" s="488"/>
      <c r="T148" s="488"/>
      <c r="U148" s="184"/>
      <c r="V148" s="184"/>
      <c r="W148" s="184"/>
      <c r="X148" s="184"/>
    </row>
    <row r="149" spans="1:24" ht="12.75">
      <c r="A149" s="256"/>
      <c r="B149" s="745" t="s">
        <v>1065</v>
      </c>
      <c r="C149" s="746"/>
      <c r="D149" s="746"/>
      <c r="E149" s="746"/>
      <c r="F149" s="747"/>
      <c r="G149" s="190"/>
      <c r="I149" s="554"/>
      <c r="J149" s="554"/>
      <c r="K149" s="554"/>
      <c r="Q149" s="488"/>
      <c r="R149" s="488"/>
      <c r="S149" s="488"/>
      <c r="T149" s="488"/>
      <c r="U149" s="184"/>
      <c r="V149" s="184"/>
      <c r="W149" s="184"/>
      <c r="X149" s="184"/>
    </row>
    <row r="150" spans="1:24" ht="12.75">
      <c r="A150" s="256"/>
      <c r="B150" s="748"/>
      <c r="C150" s="749"/>
      <c r="D150" s="749"/>
      <c r="E150" s="749"/>
      <c r="F150" s="750"/>
      <c r="G150" s="190"/>
      <c r="H150" s="591"/>
      <c r="I150" s="554"/>
      <c r="J150" s="554"/>
      <c r="K150" s="554"/>
      <c r="Q150" s="488"/>
      <c r="R150" s="488"/>
      <c r="S150" s="488"/>
      <c r="T150" s="488"/>
      <c r="U150" s="184"/>
      <c r="V150" s="184"/>
      <c r="W150" s="184"/>
      <c r="X150" s="184"/>
    </row>
    <row r="151" spans="1:24" ht="12.75">
      <c r="A151" s="256"/>
      <c r="B151" s="751"/>
      <c r="C151" s="752"/>
      <c r="D151" s="752"/>
      <c r="E151" s="752"/>
      <c r="F151" s="750"/>
      <c r="G151" s="190"/>
      <c r="H151" s="591"/>
      <c r="I151" s="554"/>
      <c r="J151" s="554"/>
      <c r="K151" s="554"/>
      <c r="Q151" s="488"/>
      <c r="R151" s="488"/>
      <c r="S151" s="488"/>
      <c r="T151" s="488"/>
      <c r="U151" s="184"/>
      <c r="V151" s="184"/>
      <c r="W151" s="184"/>
      <c r="X151" s="184"/>
    </row>
    <row r="152" spans="1:24" ht="12.75">
      <c r="A152" s="256"/>
      <c r="B152" s="777"/>
      <c r="C152" s="740"/>
      <c r="D152" s="740"/>
      <c r="E152" s="740"/>
      <c r="F152" s="741"/>
      <c r="G152" s="190"/>
      <c r="H152" s="591"/>
      <c r="I152" s="554"/>
      <c r="J152" s="554"/>
      <c r="K152" s="554"/>
      <c r="Q152" s="488"/>
      <c r="R152" s="488"/>
      <c r="S152" s="488"/>
      <c r="T152" s="488"/>
      <c r="U152" s="184"/>
      <c r="V152" s="184"/>
      <c r="W152" s="184"/>
      <c r="X152" s="184"/>
    </row>
    <row r="153" spans="1:24" ht="12.75">
      <c r="A153" s="256"/>
      <c r="B153" s="739"/>
      <c r="C153" s="740"/>
      <c r="D153" s="740"/>
      <c r="E153" s="740"/>
      <c r="F153" s="741"/>
      <c r="G153" s="190"/>
      <c r="I153" s="554"/>
      <c r="J153" s="554"/>
      <c r="K153" s="554"/>
      <c r="Q153" s="488"/>
      <c r="R153" s="488"/>
      <c r="S153" s="488"/>
      <c r="T153" s="488"/>
      <c r="U153" s="184"/>
      <c r="V153" s="184"/>
      <c r="W153" s="184"/>
      <c r="X153" s="184"/>
    </row>
    <row r="154" spans="1:24" ht="12.75">
      <c r="A154" s="256"/>
      <c r="B154" s="739"/>
      <c r="C154" s="740"/>
      <c r="D154" s="740"/>
      <c r="E154" s="740"/>
      <c r="F154" s="741"/>
      <c r="G154" s="190"/>
      <c r="I154" s="554"/>
      <c r="J154" s="554"/>
      <c r="K154" s="554"/>
      <c r="Q154" s="488"/>
      <c r="R154" s="488"/>
      <c r="S154" s="488"/>
      <c r="T154" s="488"/>
      <c r="U154" s="184"/>
      <c r="V154" s="184"/>
      <c r="W154" s="184"/>
      <c r="X154" s="184"/>
    </row>
    <row r="155" spans="1:24" ht="12.75">
      <c r="A155" s="256"/>
      <c r="B155" s="739"/>
      <c r="C155" s="740"/>
      <c r="D155" s="740"/>
      <c r="E155" s="740"/>
      <c r="F155" s="741"/>
      <c r="G155" s="190"/>
      <c r="I155" s="554"/>
      <c r="J155" s="554"/>
      <c r="K155" s="554"/>
      <c r="Q155" s="488"/>
      <c r="R155" s="488"/>
      <c r="S155" s="488"/>
      <c r="T155" s="488"/>
      <c r="U155" s="184"/>
      <c r="V155" s="184"/>
      <c r="W155" s="184"/>
      <c r="X155" s="184"/>
    </row>
    <row r="156" spans="1:24" ht="12.75">
      <c r="A156" s="256"/>
      <c r="B156" s="739"/>
      <c r="C156" s="740"/>
      <c r="D156" s="740"/>
      <c r="E156" s="740"/>
      <c r="F156" s="741"/>
      <c r="G156" s="190"/>
      <c r="I156" s="554"/>
      <c r="J156" s="554"/>
      <c r="K156" s="554"/>
      <c r="Q156" s="488"/>
      <c r="R156" s="488"/>
      <c r="S156" s="488"/>
      <c r="T156" s="488"/>
      <c r="U156" s="184"/>
      <c r="V156" s="184"/>
      <c r="W156" s="184"/>
      <c r="X156" s="184"/>
    </row>
    <row r="157" spans="1:24" ht="12.75">
      <c r="A157" s="256"/>
      <c r="B157" s="739"/>
      <c r="C157" s="740"/>
      <c r="D157" s="740"/>
      <c r="E157" s="740"/>
      <c r="F157" s="741"/>
      <c r="G157" s="190"/>
      <c r="I157" s="554"/>
      <c r="J157" s="554"/>
      <c r="K157" s="554"/>
      <c r="Q157" s="488"/>
      <c r="R157" s="488"/>
      <c r="S157" s="488"/>
      <c r="T157" s="488"/>
      <c r="U157" s="184"/>
      <c r="V157" s="184"/>
      <c r="W157" s="184"/>
      <c r="X157" s="184"/>
    </row>
    <row r="158" spans="1:24" ht="12.75">
      <c r="A158" s="256"/>
      <c r="B158" s="739"/>
      <c r="C158" s="740"/>
      <c r="D158" s="740"/>
      <c r="E158" s="740"/>
      <c r="F158" s="741"/>
      <c r="G158" s="190"/>
      <c r="I158" s="554"/>
      <c r="J158" s="554"/>
      <c r="K158" s="554"/>
      <c r="Q158" s="488"/>
      <c r="R158" s="488"/>
      <c r="S158" s="488"/>
      <c r="T158" s="488"/>
      <c r="U158" s="184"/>
      <c r="V158" s="184"/>
      <c r="W158" s="184"/>
      <c r="X158" s="184"/>
    </row>
    <row r="159" spans="1:24" ht="12.75">
      <c r="A159" s="256"/>
      <c r="B159" s="739"/>
      <c r="C159" s="740"/>
      <c r="D159" s="740"/>
      <c r="E159" s="740"/>
      <c r="F159" s="741"/>
      <c r="G159" s="190"/>
      <c r="I159" s="554"/>
      <c r="J159" s="554"/>
      <c r="K159" s="554"/>
      <c r="Q159" s="488"/>
      <c r="R159" s="488"/>
      <c r="S159" s="488"/>
      <c r="T159" s="488"/>
      <c r="U159" s="184"/>
      <c r="V159" s="184"/>
      <c r="W159" s="184"/>
      <c r="X159" s="184"/>
    </row>
    <row r="160" spans="1:24" ht="12.75">
      <c r="A160" s="256"/>
      <c r="B160" s="739"/>
      <c r="C160" s="740"/>
      <c r="D160" s="740"/>
      <c r="E160" s="740"/>
      <c r="F160" s="741"/>
      <c r="G160" s="190"/>
      <c r="I160" s="554"/>
      <c r="J160" s="554"/>
      <c r="K160" s="554"/>
      <c r="Q160" s="488"/>
      <c r="R160" s="488"/>
      <c r="S160" s="488"/>
      <c r="T160" s="488"/>
      <c r="U160" s="184"/>
      <c r="V160" s="184"/>
      <c r="W160" s="184"/>
      <c r="X160" s="184"/>
    </row>
    <row r="161" spans="1:24" ht="12.75">
      <c r="A161" s="256"/>
      <c r="B161" s="739"/>
      <c r="C161" s="740"/>
      <c r="D161" s="740"/>
      <c r="E161" s="740"/>
      <c r="F161" s="741"/>
      <c r="G161" s="190"/>
      <c r="I161" s="554"/>
      <c r="J161" s="554"/>
      <c r="K161" s="554"/>
      <c r="Q161" s="488"/>
      <c r="R161" s="488"/>
      <c r="S161" s="488"/>
      <c r="T161" s="488"/>
      <c r="U161" s="184"/>
      <c r="V161" s="184"/>
      <c r="W161" s="184"/>
      <c r="X161" s="184"/>
    </row>
    <row r="162" spans="1:24" ht="12.75">
      <c r="A162" s="256"/>
      <c r="B162" s="739"/>
      <c r="C162" s="740"/>
      <c r="D162" s="740"/>
      <c r="E162" s="740"/>
      <c r="F162" s="741"/>
      <c r="G162" s="190"/>
      <c r="I162" s="554"/>
      <c r="J162" s="554"/>
      <c r="K162" s="554"/>
      <c r="Q162" s="488"/>
      <c r="R162" s="488"/>
      <c r="S162" s="488"/>
      <c r="T162" s="488"/>
      <c r="U162" s="184"/>
      <c r="V162" s="184"/>
      <c r="W162" s="184"/>
      <c r="X162" s="184"/>
    </row>
    <row r="163" spans="1:24" ht="12.75">
      <c r="A163" s="256"/>
      <c r="B163" s="739"/>
      <c r="C163" s="740"/>
      <c r="D163" s="740"/>
      <c r="E163" s="740"/>
      <c r="F163" s="741"/>
      <c r="G163" s="190"/>
      <c r="I163" s="554"/>
      <c r="J163" s="554"/>
      <c r="K163" s="554"/>
      <c r="Q163" s="488"/>
      <c r="R163" s="488"/>
      <c r="S163" s="488"/>
      <c r="T163" s="488"/>
      <c r="U163" s="184"/>
      <c r="V163" s="184"/>
      <c r="W163" s="184"/>
      <c r="X163" s="184"/>
    </row>
    <row r="164" spans="1:24" ht="13.5" thickBot="1">
      <c r="A164" s="256"/>
      <c r="B164" s="742"/>
      <c r="C164" s="743"/>
      <c r="D164" s="743"/>
      <c r="E164" s="743"/>
      <c r="F164" s="744"/>
      <c r="G164" s="190"/>
      <c r="I164" s="554"/>
      <c r="J164" s="554"/>
      <c r="K164" s="554"/>
      <c r="Q164" s="488"/>
      <c r="R164" s="488"/>
      <c r="S164" s="488"/>
      <c r="T164" s="488"/>
      <c r="U164" s="184"/>
      <c r="V164" s="184"/>
      <c r="W164" s="184"/>
      <c r="X164" s="184"/>
    </row>
    <row r="165" spans="1:24" ht="13.5" thickBot="1">
      <c r="A165" s="192"/>
      <c r="B165" s="193"/>
      <c r="C165" s="193"/>
      <c r="D165" s="193"/>
      <c r="E165" s="193"/>
      <c r="F165" s="193"/>
      <c r="G165" s="194"/>
      <c r="I165" s="554"/>
      <c r="J165" s="554"/>
      <c r="K165" s="554"/>
      <c r="Q165" s="488"/>
      <c r="R165" s="488"/>
      <c r="S165" s="488"/>
      <c r="T165" s="488"/>
      <c r="U165" s="184"/>
      <c r="V165" s="184"/>
      <c r="W165" s="184"/>
      <c r="X165" s="184"/>
    </row>
    <row r="166" spans="1:24" ht="12.75">
      <c r="A166" s="245"/>
      <c r="B166" s="186"/>
      <c r="C166" s="186"/>
      <c r="D166" s="186"/>
      <c r="E166" s="186"/>
      <c r="F166" s="186"/>
      <c r="G166" s="187"/>
      <c r="I166" s="554"/>
      <c r="J166" s="554"/>
      <c r="K166" s="554"/>
      <c r="Q166" s="488"/>
      <c r="R166" s="488"/>
      <c r="S166" s="488"/>
      <c r="T166" s="488"/>
      <c r="U166" s="184"/>
      <c r="V166" s="184"/>
      <c r="W166" s="184"/>
      <c r="X166" s="184"/>
    </row>
    <row r="167" spans="1:91" s="197" customFormat="1" ht="15">
      <c r="A167" s="188"/>
      <c r="B167" s="778" t="s">
        <v>13</v>
      </c>
      <c r="C167" s="779"/>
      <c r="D167" s="779"/>
      <c r="E167" s="779"/>
      <c r="F167" s="779"/>
      <c r="G167" s="190"/>
      <c r="H167" s="555"/>
      <c r="I167" s="550"/>
      <c r="J167" s="550"/>
      <c r="K167" s="550"/>
      <c r="L167" s="551"/>
      <c r="M167" s="551"/>
      <c r="N167" s="551"/>
      <c r="O167" s="551"/>
      <c r="P167" s="551"/>
      <c r="Q167" s="552"/>
      <c r="R167" s="552"/>
      <c r="S167" s="552"/>
      <c r="T167" s="552"/>
      <c r="U167" s="527"/>
      <c r="V167" s="527"/>
      <c r="W167" s="527"/>
      <c r="X167" s="527"/>
      <c r="Y167" s="526"/>
      <c r="Z167" s="526"/>
      <c r="AA167" s="526"/>
      <c r="AB167" s="526"/>
      <c r="AC167" s="526"/>
      <c r="AD167" s="526"/>
      <c r="AE167" s="526"/>
      <c r="AF167" s="526"/>
      <c r="AG167" s="526"/>
      <c r="AH167" s="526"/>
      <c r="AI167" s="526"/>
      <c r="AJ167" s="526"/>
      <c r="AK167" s="526"/>
      <c r="AL167" s="526"/>
      <c r="AM167" s="526"/>
      <c r="AN167" s="526"/>
      <c r="AO167" s="526"/>
      <c r="AP167" s="526"/>
      <c r="AQ167" s="526"/>
      <c r="AR167" s="526"/>
      <c r="AS167" s="526"/>
      <c r="AT167" s="526"/>
      <c r="AU167" s="526"/>
      <c r="AV167" s="526"/>
      <c r="AW167" s="526"/>
      <c r="AX167" s="526"/>
      <c r="AY167" s="526"/>
      <c r="AZ167" s="526"/>
      <c r="BA167" s="526"/>
      <c r="BB167" s="526"/>
      <c r="BC167" s="526"/>
      <c r="BD167" s="526"/>
      <c r="BE167" s="526"/>
      <c r="BF167" s="526"/>
      <c r="BG167" s="526"/>
      <c r="BH167" s="526"/>
      <c r="BI167" s="526"/>
      <c r="BJ167" s="526"/>
      <c r="BK167" s="526"/>
      <c r="BL167" s="526"/>
      <c r="BM167" s="526"/>
      <c r="BN167" s="526"/>
      <c r="BO167" s="526"/>
      <c r="BP167" s="526"/>
      <c r="BQ167" s="526"/>
      <c r="BR167" s="526"/>
      <c r="BS167" s="526"/>
      <c r="BT167" s="526"/>
      <c r="BU167" s="526"/>
      <c r="BV167" s="526"/>
      <c r="BW167" s="526"/>
      <c r="BX167" s="526"/>
      <c r="BY167" s="526"/>
      <c r="BZ167" s="526"/>
      <c r="CA167" s="526"/>
      <c r="CB167" s="526"/>
      <c r="CC167" s="526"/>
      <c r="CD167" s="526"/>
      <c r="CE167" s="526"/>
      <c r="CF167" s="526"/>
      <c r="CG167" s="526"/>
      <c r="CH167" s="526"/>
      <c r="CI167" s="526"/>
      <c r="CJ167" s="526"/>
      <c r="CK167" s="526"/>
      <c r="CL167" s="526"/>
      <c r="CM167" s="526"/>
    </row>
    <row r="168" spans="1:91" s="197" customFormat="1" ht="15">
      <c r="A168" s="188"/>
      <c r="B168" s="778"/>
      <c r="C168" s="779"/>
      <c r="D168" s="779"/>
      <c r="E168" s="779"/>
      <c r="F168" s="779"/>
      <c r="G168" s="190"/>
      <c r="H168" s="555"/>
      <c r="I168" s="550"/>
      <c r="J168" s="550"/>
      <c r="K168" s="550"/>
      <c r="L168" s="551"/>
      <c r="M168" s="551"/>
      <c r="N168" s="551"/>
      <c r="O168" s="551"/>
      <c r="P168" s="551"/>
      <c r="Q168" s="552"/>
      <c r="R168" s="552"/>
      <c r="S168" s="552"/>
      <c r="T168" s="552"/>
      <c r="U168" s="527"/>
      <c r="V168" s="527"/>
      <c r="W168" s="527"/>
      <c r="X168" s="527"/>
      <c r="Y168" s="526"/>
      <c r="Z168" s="526"/>
      <c r="AA168" s="526"/>
      <c r="AB168" s="526"/>
      <c r="AC168" s="526"/>
      <c r="AD168" s="526"/>
      <c r="AE168" s="526"/>
      <c r="AF168" s="526"/>
      <c r="AG168" s="526"/>
      <c r="AH168" s="526"/>
      <c r="AI168" s="526"/>
      <c r="AJ168" s="526"/>
      <c r="AK168" s="526"/>
      <c r="AL168" s="526"/>
      <c r="AM168" s="526"/>
      <c r="AN168" s="526"/>
      <c r="AO168" s="526"/>
      <c r="AP168" s="526"/>
      <c r="AQ168" s="526"/>
      <c r="AR168" s="526"/>
      <c r="AS168" s="526"/>
      <c r="AT168" s="526"/>
      <c r="AU168" s="526"/>
      <c r="AV168" s="526"/>
      <c r="AW168" s="526"/>
      <c r="AX168" s="526"/>
      <c r="AY168" s="526"/>
      <c r="AZ168" s="526"/>
      <c r="BA168" s="526"/>
      <c r="BB168" s="526"/>
      <c r="BC168" s="526"/>
      <c r="BD168" s="526"/>
      <c r="BE168" s="526"/>
      <c r="BF168" s="526"/>
      <c r="BG168" s="526"/>
      <c r="BH168" s="526"/>
      <c r="BI168" s="526"/>
      <c r="BJ168" s="526"/>
      <c r="BK168" s="526"/>
      <c r="BL168" s="526"/>
      <c r="BM168" s="526"/>
      <c r="BN168" s="526"/>
      <c r="BO168" s="526"/>
      <c r="BP168" s="526"/>
      <c r="BQ168" s="526"/>
      <c r="BR168" s="526"/>
      <c r="BS168" s="526"/>
      <c r="BT168" s="526"/>
      <c r="BU168" s="526"/>
      <c r="BV168" s="526"/>
      <c r="BW168" s="526"/>
      <c r="BX168" s="526"/>
      <c r="BY168" s="526"/>
      <c r="BZ168" s="526"/>
      <c r="CA168" s="526"/>
      <c r="CB168" s="526"/>
      <c r="CC168" s="526"/>
      <c r="CD168" s="526"/>
      <c r="CE168" s="526"/>
      <c r="CF168" s="526"/>
      <c r="CG168" s="526"/>
      <c r="CH168" s="526"/>
      <c r="CI168" s="526"/>
      <c r="CJ168" s="526"/>
      <c r="CK168" s="526"/>
      <c r="CL168" s="526"/>
      <c r="CM168" s="526"/>
    </row>
    <row r="169" spans="1:24" ht="12.75">
      <c r="A169" s="188"/>
      <c r="B169" s="779"/>
      <c r="C169" s="779"/>
      <c r="D169" s="779"/>
      <c r="E169" s="779"/>
      <c r="F169" s="779"/>
      <c r="G169" s="190"/>
      <c r="I169" s="554"/>
      <c r="J169" s="554"/>
      <c r="K169" s="554"/>
      <c r="Q169" s="488"/>
      <c r="R169" s="488"/>
      <c r="S169" s="488"/>
      <c r="T169" s="488"/>
      <c r="U169" s="184"/>
      <c r="V169" s="184"/>
      <c r="W169" s="184"/>
      <c r="X169" s="184"/>
    </row>
    <row r="170" spans="1:11" ht="12.75">
      <c r="A170" s="188"/>
      <c r="B170" s="789" t="s">
        <v>70</v>
      </c>
      <c r="C170" s="790"/>
      <c r="D170" s="790"/>
      <c r="E170" s="790"/>
      <c r="F170" s="790"/>
      <c r="G170" s="190"/>
      <c r="I170" s="554"/>
      <c r="J170" s="554"/>
      <c r="K170" s="554"/>
    </row>
    <row r="171" spans="1:11" ht="12.75">
      <c r="A171" s="188"/>
      <c r="B171" s="789"/>
      <c r="C171" s="790"/>
      <c r="D171" s="790"/>
      <c r="E171" s="790"/>
      <c r="F171" s="790"/>
      <c r="G171" s="190"/>
      <c r="I171" s="554"/>
      <c r="J171" s="554"/>
      <c r="K171" s="554"/>
    </row>
    <row r="172" spans="1:11" ht="12.75">
      <c r="A172" s="188"/>
      <c r="B172" s="790"/>
      <c r="C172" s="790"/>
      <c r="D172" s="790"/>
      <c r="E172" s="790"/>
      <c r="F172" s="790"/>
      <c r="G172" s="190"/>
      <c r="I172" s="554"/>
      <c r="J172" s="554"/>
      <c r="K172" s="554"/>
    </row>
    <row r="173" spans="1:11" ht="12.75">
      <c r="A173" s="188"/>
      <c r="B173" s="790"/>
      <c r="C173" s="790"/>
      <c r="D173" s="790"/>
      <c r="E173" s="790"/>
      <c r="F173" s="790"/>
      <c r="G173" s="190"/>
      <c r="I173" s="554"/>
      <c r="J173" s="554"/>
      <c r="K173" s="554"/>
    </row>
    <row r="174" spans="1:11" ht="14.25">
      <c r="A174" s="188"/>
      <c r="B174" s="208"/>
      <c r="C174" s="208"/>
      <c r="D174" s="208"/>
      <c r="E174" s="208"/>
      <c r="F174" s="208"/>
      <c r="G174" s="190"/>
      <c r="I174" s="554"/>
      <c r="J174" s="554"/>
      <c r="K174" s="554"/>
    </row>
    <row r="175" spans="1:24" ht="36.75" customHeight="1">
      <c r="A175" s="780" t="s">
        <v>18</v>
      </c>
      <c r="B175" s="781"/>
      <c r="C175" s="781"/>
      <c r="D175" s="781"/>
      <c r="E175" s="781"/>
      <c r="F175" s="781"/>
      <c r="G175" s="782"/>
      <c r="I175" s="554"/>
      <c r="J175" s="554"/>
      <c r="K175" s="554"/>
      <c r="Q175" s="488"/>
      <c r="R175" s="488"/>
      <c r="S175" s="488"/>
      <c r="T175" s="488"/>
      <c r="U175" s="184"/>
      <c r="V175" s="184"/>
      <c r="W175" s="184"/>
      <c r="X175" s="184"/>
    </row>
    <row r="176" spans="1:24" ht="15">
      <c r="A176" s="188"/>
      <c r="B176" s="250"/>
      <c r="C176" s="199"/>
      <c r="D176" s="189"/>
      <c r="E176" s="189"/>
      <c r="F176" s="189"/>
      <c r="G176" s="190"/>
      <c r="I176" s="554"/>
      <c r="J176" s="554"/>
      <c r="K176" s="554"/>
      <c r="Q176" s="488"/>
      <c r="R176" s="488"/>
      <c r="S176" s="488"/>
      <c r="T176" s="488"/>
      <c r="U176" s="184"/>
      <c r="V176" s="184"/>
      <c r="W176" s="184"/>
      <c r="X176" s="184"/>
    </row>
    <row r="177" spans="1:24" ht="16.5" thickBot="1">
      <c r="A177" s="188"/>
      <c r="B177" s="198" t="s">
        <v>1074</v>
      </c>
      <c r="C177" s="199"/>
      <c r="D177" s="189"/>
      <c r="E177" s="189"/>
      <c r="F177" s="189"/>
      <c r="G177" s="190"/>
      <c r="I177" s="554"/>
      <c r="J177" s="554"/>
      <c r="K177" s="554"/>
      <c r="Q177" s="488"/>
      <c r="R177" s="488"/>
      <c r="S177" s="488"/>
      <c r="T177" s="488"/>
      <c r="U177" s="184"/>
      <c r="V177" s="184"/>
      <c r="W177" s="184"/>
      <c r="X177" s="184"/>
    </row>
    <row r="178" spans="1:24" ht="21" thickBot="1">
      <c r="A178" s="188"/>
      <c r="B178" s="198" t="s">
        <v>24</v>
      </c>
      <c r="C178" s="199"/>
      <c r="D178" s="189"/>
      <c r="E178" s="189"/>
      <c r="F178" s="520">
        <v>5</v>
      </c>
      <c r="G178" s="190"/>
      <c r="I178" s="554"/>
      <c r="J178" s="554"/>
      <c r="K178" s="554"/>
      <c r="Q178" s="488"/>
      <c r="R178" s="488"/>
      <c r="S178" s="488"/>
      <c r="T178" s="488"/>
      <c r="U178" s="184"/>
      <c r="V178" s="184"/>
      <c r="W178" s="184"/>
      <c r="X178" s="184"/>
    </row>
    <row r="179" spans="1:24" ht="16.5" thickBot="1">
      <c r="A179" s="188"/>
      <c r="B179" s="198"/>
      <c r="C179" s="199"/>
      <c r="D179" s="189"/>
      <c r="E179" s="189"/>
      <c r="F179" s="206"/>
      <c r="G179" s="190"/>
      <c r="I179" s="554"/>
      <c r="J179" s="554"/>
      <c r="K179" s="554"/>
      <c r="Q179" s="488"/>
      <c r="R179" s="488"/>
      <c r="S179" s="488"/>
      <c r="T179" s="488"/>
      <c r="U179" s="184"/>
      <c r="V179" s="184"/>
      <c r="W179" s="184"/>
      <c r="X179" s="184"/>
    </row>
    <row r="180" spans="1:24" ht="21" thickBot="1">
      <c r="A180" s="188"/>
      <c r="B180" s="198" t="s">
        <v>25</v>
      </c>
      <c r="C180" s="199"/>
      <c r="D180" s="189"/>
      <c r="E180" s="189"/>
      <c r="F180" s="520">
        <v>143</v>
      </c>
      <c r="G180" s="190"/>
      <c r="I180" s="554"/>
      <c r="J180" s="554"/>
      <c r="K180" s="554"/>
      <c r="Q180" s="488"/>
      <c r="R180" s="488"/>
      <c r="S180" s="488"/>
      <c r="T180" s="488"/>
      <c r="U180" s="184"/>
      <c r="V180" s="184"/>
      <c r="W180" s="184"/>
      <c r="X180" s="184"/>
    </row>
    <row r="181" spans="1:24" ht="16.5" thickBot="1">
      <c r="A181" s="188"/>
      <c r="B181" s="198"/>
      <c r="C181" s="199"/>
      <c r="D181" s="189"/>
      <c r="E181" s="189"/>
      <c r="F181" s="206"/>
      <c r="G181" s="190"/>
      <c r="I181" s="554"/>
      <c r="J181" s="554"/>
      <c r="K181" s="554"/>
      <c r="Q181" s="488"/>
      <c r="R181" s="488"/>
      <c r="S181" s="488"/>
      <c r="T181" s="488"/>
      <c r="U181" s="184"/>
      <c r="V181" s="184"/>
      <c r="W181" s="184"/>
      <c r="X181" s="184"/>
    </row>
    <row r="182" spans="1:24" ht="21" thickBot="1">
      <c r="A182" s="188"/>
      <c r="B182" s="198" t="s">
        <v>26</v>
      </c>
      <c r="C182" s="199"/>
      <c r="D182" s="189"/>
      <c r="E182" s="189"/>
      <c r="F182" s="520">
        <v>0</v>
      </c>
      <c r="G182" s="190"/>
      <c r="I182" s="554"/>
      <c r="J182" s="554"/>
      <c r="K182" s="554"/>
      <c r="Q182" s="488"/>
      <c r="R182" s="488"/>
      <c r="S182" s="488"/>
      <c r="T182" s="488"/>
      <c r="U182" s="184"/>
      <c r="V182" s="184"/>
      <c r="W182" s="184"/>
      <c r="X182" s="184"/>
    </row>
    <row r="183" spans="1:24" ht="16.5" thickBot="1">
      <c r="A183" s="188"/>
      <c r="B183" s="198"/>
      <c r="C183" s="199"/>
      <c r="D183" s="189"/>
      <c r="E183" s="189"/>
      <c r="F183" s="206"/>
      <c r="G183" s="190"/>
      <c r="I183" s="554"/>
      <c r="J183" s="554"/>
      <c r="K183" s="554"/>
      <c r="Q183" s="488"/>
      <c r="R183" s="488"/>
      <c r="S183" s="488"/>
      <c r="T183" s="488"/>
      <c r="U183" s="184"/>
      <c r="V183" s="184"/>
      <c r="W183" s="184"/>
      <c r="X183" s="184"/>
    </row>
    <row r="184" spans="1:24" ht="21" thickBot="1">
      <c r="A184" s="188"/>
      <c r="B184" s="198" t="s">
        <v>27</v>
      </c>
      <c r="C184" s="199"/>
      <c r="D184" s="189"/>
      <c r="E184" s="189"/>
      <c r="F184" s="520">
        <v>0</v>
      </c>
      <c r="G184" s="190"/>
      <c r="I184" s="554"/>
      <c r="J184" s="554"/>
      <c r="K184" s="554"/>
      <c r="Q184" s="488"/>
      <c r="R184" s="488"/>
      <c r="S184" s="488"/>
      <c r="T184" s="488"/>
      <c r="U184" s="184"/>
      <c r="V184" s="184"/>
      <c r="W184" s="184"/>
      <c r="X184" s="184"/>
    </row>
    <row r="185" spans="1:24" ht="15.75" thickBot="1">
      <c r="A185" s="188"/>
      <c r="B185" s="199"/>
      <c r="C185" s="199"/>
      <c r="D185" s="189"/>
      <c r="E185" s="189"/>
      <c r="F185" s="206"/>
      <c r="G185" s="190"/>
      <c r="I185" s="554"/>
      <c r="J185" s="554"/>
      <c r="K185" s="554"/>
      <c r="Q185" s="488"/>
      <c r="R185" s="488"/>
      <c r="S185" s="488"/>
      <c r="T185" s="488"/>
      <c r="U185" s="184"/>
      <c r="V185" s="184"/>
      <c r="W185" s="184"/>
      <c r="X185" s="184"/>
    </row>
    <row r="186" spans="1:24" ht="21" thickBot="1">
      <c r="A186" s="188"/>
      <c r="B186" s="198" t="s">
        <v>78</v>
      </c>
      <c r="C186" s="199"/>
      <c r="D186" s="189"/>
      <c r="E186" s="189"/>
      <c r="F186" s="520">
        <v>0</v>
      </c>
      <c r="G186" s="190"/>
      <c r="I186" s="554"/>
      <c r="J186" s="554"/>
      <c r="K186" s="554"/>
      <c r="Q186" s="488"/>
      <c r="R186" s="488"/>
      <c r="S186" s="488"/>
      <c r="T186" s="488"/>
      <c r="U186" s="184"/>
      <c r="V186" s="184"/>
      <c r="W186" s="184"/>
      <c r="X186" s="184"/>
    </row>
    <row r="187" spans="1:24" ht="16.5" thickBot="1">
      <c r="A187" s="188"/>
      <c r="B187" s="198"/>
      <c r="C187" s="199"/>
      <c r="D187" s="189"/>
      <c r="E187" s="189"/>
      <c r="F187" s="206"/>
      <c r="G187" s="190"/>
      <c r="I187" s="554"/>
      <c r="J187" s="554"/>
      <c r="K187" s="554"/>
      <c r="Q187" s="488"/>
      <c r="R187" s="488"/>
      <c r="S187" s="488"/>
      <c r="T187" s="488"/>
      <c r="U187" s="184"/>
      <c r="V187" s="184"/>
      <c r="W187" s="184"/>
      <c r="X187" s="184"/>
    </row>
    <row r="188" spans="1:24" ht="21" thickBot="1">
      <c r="A188" s="188"/>
      <c r="B188" s="198" t="s">
        <v>79</v>
      </c>
      <c r="C188" s="199"/>
      <c r="D188" s="189"/>
      <c r="E188" s="189"/>
      <c r="F188" s="520">
        <v>661</v>
      </c>
      <c r="G188" s="190"/>
      <c r="I188" s="554"/>
      <c r="J188" s="554"/>
      <c r="K188" s="554"/>
      <c r="Q188" s="488"/>
      <c r="R188" s="488"/>
      <c r="S188" s="488"/>
      <c r="T188" s="488"/>
      <c r="U188" s="184"/>
      <c r="V188" s="184"/>
      <c r="W188" s="184"/>
      <c r="X188" s="184"/>
    </row>
    <row r="189" spans="1:24" ht="16.5" thickBot="1">
      <c r="A189" s="188"/>
      <c r="B189" s="198"/>
      <c r="C189" s="199"/>
      <c r="D189" s="189"/>
      <c r="E189" s="189"/>
      <c r="F189" s="206"/>
      <c r="G189" s="190"/>
      <c r="I189" s="554"/>
      <c r="J189" s="554"/>
      <c r="K189" s="554"/>
      <c r="Q189" s="488"/>
      <c r="R189" s="488"/>
      <c r="S189" s="488"/>
      <c r="T189" s="488"/>
      <c r="U189" s="184"/>
      <c r="V189" s="184"/>
      <c r="W189" s="184"/>
      <c r="X189" s="184"/>
    </row>
    <row r="190" spans="1:24" ht="21" thickBot="1">
      <c r="A190" s="188"/>
      <c r="B190" s="198" t="s">
        <v>80</v>
      </c>
      <c r="C190" s="199"/>
      <c r="D190" s="209"/>
      <c r="E190" s="209"/>
      <c r="F190" s="520">
        <v>2</v>
      </c>
      <c r="G190" s="190"/>
      <c r="I190" s="554"/>
      <c r="J190" s="554"/>
      <c r="K190" s="554"/>
      <c r="Q190" s="488"/>
      <c r="R190" s="488"/>
      <c r="S190" s="488"/>
      <c r="T190" s="488"/>
      <c r="U190" s="184"/>
      <c r="V190" s="184"/>
      <c r="W190" s="184"/>
      <c r="X190" s="184"/>
    </row>
    <row r="191" spans="1:24" ht="15.75" thickBot="1">
      <c r="A191" s="188"/>
      <c r="B191" s="199"/>
      <c r="C191" s="199"/>
      <c r="D191" s="189"/>
      <c r="E191" s="189"/>
      <c r="F191" s="186"/>
      <c r="G191" s="190"/>
      <c r="I191" s="554"/>
      <c r="J191" s="554"/>
      <c r="K191" s="554"/>
      <c r="Q191" s="488"/>
      <c r="R191" s="488"/>
      <c r="S191" s="488"/>
      <c r="T191" s="488"/>
      <c r="U191" s="184"/>
      <c r="V191" s="184"/>
      <c r="W191" s="184"/>
      <c r="X191" s="184"/>
    </row>
    <row r="192" spans="1:24" ht="21" thickBot="1">
      <c r="A192" s="188"/>
      <c r="B192" s="766" t="s">
        <v>81</v>
      </c>
      <c r="C192" s="776"/>
      <c r="D192" s="776"/>
      <c r="E192" s="199"/>
      <c r="F192" s="520">
        <v>0</v>
      </c>
      <c r="G192" s="190"/>
      <c r="I192" s="554">
        <f>IF(F192&lt;0,1,IF(F192&gt;(F186+F188+F190),1,0))</f>
        <v>0</v>
      </c>
      <c r="J192" s="554"/>
      <c r="K192" s="554"/>
      <c r="Q192" s="488"/>
      <c r="R192" s="488"/>
      <c r="S192" s="488"/>
      <c r="T192" s="488"/>
      <c r="U192" s="184"/>
      <c r="V192" s="184"/>
      <c r="W192" s="184"/>
      <c r="X192" s="184"/>
    </row>
    <row r="193" spans="1:24" ht="13.5" thickBot="1">
      <c r="A193" s="188"/>
      <c r="B193" s="776"/>
      <c r="C193" s="776"/>
      <c r="D193" s="776"/>
      <c r="E193" s="189"/>
      <c r="F193" s="193"/>
      <c r="G193" s="190"/>
      <c r="I193" s="554"/>
      <c r="J193" s="554"/>
      <c r="K193" s="554"/>
      <c r="Q193" s="488"/>
      <c r="R193" s="488"/>
      <c r="S193" s="488"/>
      <c r="T193" s="488"/>
      <c r="U193" s="184"/>
      <c r="V193" s="184"/>
      <c r="W193" s="184"/>
      <c r="X193" s="184"/>
    </row>
    <row r="194" spans="1:24" ht="21" thickBot="1">
      <c r="A194" s="188"/>
      <c r="B194" s="198" t="s">
        <v>82</v>
      </c>
      <c r="C194" s="199"/>
      <c r="D194" s="189"/>
      <c r="E194" s="189"/>
      <c r="F194" s="520">
        <v>3</v>
      </c>
      <c r="G194" s="190"/>
      <c r="I194" s="554"/>
      <c r="J194" s="554"/>
      <c r="K194" s="554"/>
      <c r="Q194" s="488"/>
      <c r="R194" s="488"/>
      <c r="S194" s="488"/>
      <c r="T194" s="488"/>
      <c r="U194" s="184"/>
      <c r="V194" s="184"/>
      <c r="W194" s="184"/>
      <c r="X194" s="184"/>
    </row>
    <row r="195" spans="1:24" ht="16.5" thickBot="1">
      <c r="A195" s="188"/>
      <c r="B195" s="198"/>
      <c r="C195" s="199"/>
      <c r="D195" s="189"/>
      <c r="E195" s="189"/>
      <c r="F195" s="206"/>
      <c r="G195" s="190"/>
      <c r="I195" s="554"/>
      <c r="J195" s="554"/>
      <c r="K195" s="554"/>
      <c r="Q195" s="488"/>
      <c r="R195" s="488"/>
      <c r="S195" s="488"/>
      <c r="T195" s="488"/>
      <c r="U195" s="184"/>
      <c r="V195" s="184"/>
      <c r="W195" s="184"/>
      <c r="X195" s="184"/>
    </row>
    <row r="196" spans="1:24" ht="21" thickBot="1">
      <c r="A196" s="188"/>
      <c r="B196" s="198" t="s">
        <v>83</v>
      </c>
      <c r="C196" s="199"/>
      <c r="D196" s="189"/>
      <c r="E196" s="189"/>
      <c r="F196" s="520">
        <v>0</v>
      </c>
      <c r="G196" s="190"/>
      <c r="I196" s="554"/>
      <c r="J196" s="554"/>
      <c r="K196" s="554"/>
      <c r="Q196" s="488"/>
      <c r="R196" s="488"/>
      <c r="S196" s="488"/>
      <c r="T196" s="488"/>
      <c r="U196" s="184"/>
      <c r="V196" s="184"/>
      <c r="W196" s="184"/>
      <c r="X196" s="184"/>
    </row>
    <row r="197" spans="1:24" ht="16.5" thickBot="1">
      <c r="A197" s="188"/>
      <c r="B197" s="198"/>
      <c r="C197" s="199"/>
      <c r="D197" s="189"/>
      <c r="E197" s="189"/>
      <c r="F197" s="206"/>
      <c r="G197" s="190"/>
      <c r="I197" s="554"/>
      <c r="J197" s="554"/>
      <c r="K197" s="554"/>
      <c r="Q197" s="488"/>
      <c r="R197" s="488"/>
      <c r="S197" s="488"/>
      <c r="T197" s="488"/>
      <c r="U197" s="184"/>
      <c r="V197" s="184"/>
      <c r="W197" s="184"/>
      <c r="X197" s="184"/>
    </row>
    <row r="198" spans="1:24" ht="21" thickBot="1">
      <c r="A198" s="188"/>
      <c r="B198" s="198" t="s">
        <v>84</v>
      </c>
      <c r="C198" s="199"/>
      <c r="D198" s="189"/>
      <c r="E198" s="189"/>
      <c r="F198" s="520">
        <v>4</v>
      </c>
      <c r="G198" s="190"/>
      <c r="I198" s="554"/>
      <c r="J198" s="554"/>
      <c r="K198" s="554"/>
      <c r="Q198" s="488"/>
      <c r="R198" s="488"/>
      <c r="S198" s="488"/>
      <c r="T198" s="488"/>
      <c r="U198" s="184"/>
      <c r="V198" s="184"/>
      <c r="W198" s="184"/>
      <c r="X198" s="184"/>
    </row>
    <row r="199" spans="1:24" ht="16.5" thickBot="1">
      <c r="A199" s="188"/>
      <c r="B199" s="198"/>
      <c r="C199" s="199"/>
      <c r="D199" s="189"/>
      <c r="E199" s="189"/>
      <c r="F199" s="206"/>
      <c r="G199" s="190"/>
      <c r="I199" s="554"/>
      <c r="J199" s="554"/>
      <c r="K199" s="554"/>
      <c r="Q199" s="488"/>
      <c r="R199" s="488"/>
      <c r="S199" s="488"/>
      <c r="T199" s="488"/>
      <c r="U199" s="184"/>
      <c r="V199" s="184"/>
      <c r="W199" s="184"/>
      <c r="X199" s="184"/>
    </row>
    <row r="200" spans="1:24" ht="21" thickBot="1">
      <c r="A200" s="188"/>
      <c r="B200" s="198" t="s">
        <v>7</v>
      </c>
      <c r="C200" s="199"/>
      <c r="D200" s="189"/>
      <c r="E200" s="189"/>
      <c r="F200" s="520">
        <v>86</v>
      </c>
      <c r="G200" s="190"/>
      <c r="I200" s="554"/>
      <c r="J200" s="554"/>
      <c r="K200" s="554"/>
      <c r="Q200" s="488"/>
      <c r="R200" s="488"/>
      <c r="S200" s="488"/>
      <c r="T200" s="488"/>
      <c r="U200" s="184"/>
      <c r="V200" s="184"/>
      <c r="W200" s="184"/>
      <c r="X200" s="184"/>
    </row>
    <row r="201" spans="1:24" ht="15.75" thickBot="1">
      <c r="A201" s="188"/>
      <c r="B201" s="199"/>
      <c r="C201" s="199"/>
      <c r="D201" s="189"/>
      <c r="E201" s="189"/>
      <c r="F201" s="206"/>
      <c r="G201" s="190"/>
      <c r="I201" s="554"/>
      <c r="J201" s="554"/>
      <c r="K201" s="554"/>
      <c r="Q201" s="488"/>
      <c r="R201" s="488"/>
      <c r="S201" s="488"/>
      <c r="T201" s="488"/>
      <c r="U201" s="184"/>
      <c r="V201" s="184"/>
      <c r="W201" s="184"/>
      <c r="X201" s="184"/>
    </row>
    <row r="202" spans="1:24" ht="21" thickBot="1">
      <c r="A202" s="188"/>
      <c r="B202" s="198" t="s">
        <v>85</v>
      </c>
      <c r="C202" s="199"/>
      <c r="D202" s="189"/>
      <c r="E202" s="189"/>
      <c r="F202" s="520">
        <v>17</v>
      </c>
      <c r="G202" s="190"/>
      <c r="I202" s="554"/>
      <c r="J202" s="554"/>
      <c r="K202" s="554"/>
      <c r="Q202" s="488"/>
      <c r="R202" s="488"/>
      <c r="S202" s="488"/>
      <c r="T202" s="488"/>
      <c r="U202" s="184"/>
      <c r="V202" s="184"/>
      <c r="W202" s="184"/>
      <c r="X202" s="184"/>
    </row>
    <row r="203" spans="1:24" ht="16.5" thickBot="1">
      <c r="A203" s="188"/>
      <c r="B203" s="198"/>
      <c r="C203" s="199"/>
      <c r="D203" s="189"/>
      <c r="E203" s="189"/>
      <c r="F203" s="206"/>
      <c r="G203" s="190"/>
      <c r="I203" s="554"/>
      <c r="J203" s="554"/>
      <c r="K203" s="554"/>
      <c r="Q203" s="488"/>
      <c r="R203" s="488"/>
      <c r="S203" s="488"/>
      <c r="T203" s="488"/>
      <c r="U203" s="184"/>
      <c r="V203" s="184"/>
      <c r="W203" s="184"/>
      <c r="X203" s="184"/>
    </row>
    <row r="204" spans="1:24" ht="21" thickBot="1">
      <c r="A204" s="188"/>
      <c r="B204" s="198" t="s">
        <v>86</v>
      </c>
      <c r="C204" s="199"/>
      <c r="D204" s="189"/>
      <c r="E204" s="189"/>
      <c r="F204" s="520">
        <v>0</v>
      </c>
      <c r="G204" s="190"/>
      <c r="I204" s="554"/>
      <c r="J204" s="554"/>
      <c r="K204" s="554"/>
      <c r="Q204" s="488"/>
      <c r="R204" s="488"/>
      <c r="S204" s="488"/>
      <c r="T204" s="488"/>
      <c r="U204" s="184"/>
      <c r="V204" s="184"/>
      <c r="W204" s="184"/>
      <c r="X204" s="184"/>
    </row>
    <row r="205" spans="1:24" ht="16.5" thickBot="1">
      <c r="A205" s="188"/>
      <c r="B205" s="198"/>
      <c r="C205" s="199"/>
      <c r="D205" s="189"/>
      <c r="E205" s="189"/>
      <c r="F205" s="186"/>
      <c r="G205" s="190"/>
      <c r="I205" s="554"/>
      <c r="J205" s="554"/>
      <c r="K205" s="554"/>
      <c r="Q205" s="488"/>
      <c r="R205" s="488"/>
      <c r="S205" s="488"/>
      <c r="T205" s="488"/>
      <c r="U205" s="184"/>
      <c r="V205" s="184"/>
      <c r="W205" s="184"/>
      <c r="X205" s="184"/>
    </row>
    <row r="206" spans="1:24" ht="21" thickBot="1">
      <c r="A206" s="188"/>
      <c r="B206" s="775" t="s">
        <v>87</v>
      </c>
      <c r="C206" s="776"/>
      <c r="D206" s="776"/>
      <c r="E206" s="210"/>
      <c r="F206" s="520">
        <v>17</v>
      </c>
      <c r="G206" s="190"/>
      <c r="I206" s="554">
        <f>IF(F206&lt;0,1,IF(F206&gt;(F202+F204),1,0))</f>
        <v>0</v>
      </c>
      <c r="J206" s="554"/>
      <c r="K206" s="554"/>
      <c r="Q206" s="488"/>
      <c r="R206" s="488"/>
      <c r="S206" s="488"/>
      <c r="T206" s="488"/>
      <c r="U206" s="184"/>
      <c r="V206" s="184"/>
      <c r="W206" s="184"/>
      <c r="X206" s="184"/>
    </row>
    <row r="207" spans="1:24" ht="12.75">
      <c r="A207" s="188"/>
      <c r="B207" s="776"/>
      <c r="C207" s="776"/>
      <c r="D207" s="776"/>
      <c r="E207" s="210"/>
      <c r="F207" s="210"/>
      <c r="G207" s="190"/>
      <c r="I207" s="554"/>
      <c r="J207" s="554"/>
      <c r="K207" s="554"/>
      <c r="Q207" s="488"/>
      <c r="R207" s="488"/>
      <c r="S207" s="488"/>
      <c r="T207" s="488"/>
      <c r="U207" s="184"/>
      <c r="V207" s="184"/>
      <c r="W207" s="184"/>
      <c r="X207" s="184"/>
    </row>
    <row r="208" spans="1:24" ht="15.75" thickBot="1">
      <c r="A208" s="188"/>
      <c r="B208" s="199"/>
      <c r="C208" s="199"/>
      <c r="D208" s="189"/>
      <c r="E208" s="189"/>
      <c r="F208" s="193"/>
      <c r="G208" s="190"/>
      <c r="I208" s="554"/>
      <c r="J208" s="554"/>
      <c r="K208" s="554"/>
      <c r="Q208" s="488"/>
      <c r="R208" s="488"/>
      <c r="S208" s="488"/>
      <c r="T208" s="488"/>
      <c r="U208" s="184"/>
      <c r="V208" s="184"/>
      <c r="W208" s="184"/>
      <c r="X208" s="184"/>
    </row>
    <row r="209" spans="1:24" ht="21" thickBot="1">
      <c r="A209" s="188"/>
      <c r="B209" s="198" t="s">
        <v>88</v>
      </c>
      <c r="C209" s="199"/>
      <c r="D209" s="189"/>
      <c r="E209" s="189"/>
      <c r="F209" s="520">
        <v>35</v>
      </c>
      <c r="G209" s="190"/>
      <c r="I209" s="554"/>
      <c r="J209" s="554"/>
      <c r="K209" s="554"/>
      <c r="Q209" s="488"/>
      <c r="R209" s="488"/>
      <c r="S209" s="488"/>
      <c r="T209" s="488"/>
      <c r="U209" s="184"/>
      <c r="V209" s="184"/>
      <c r="W209" s="184"/>
      <c r="X209" s="184"/>
    </row>
    <row r="210" spans="1:24" ht="16.5" thickBot="1">
      <c r="A210" s="188"/>
      <c r="B210" s="198"/>
      <c r="C210" s="199"/>
      <c r="D210" s="189"/>
      <c r="E210" s="189"/>
      <c r="F210" s="206"/>
      <c r="G210" s="190"/>
      <c r="I210" s="554"/>
      <c r="J210" s="554"/>
      <c r="K210" s="554"/>
      <c r="Q210" s="488"/>
      <c r="R210" s="488"/>
      <c r="S210" s="488"/>
      <c r="T210" s="488"/>
      <c r="U210" s="184"/>
      <c r="V210" s="184"/>
      <c r="W210" s="184"/>
      <c r="X210" s="184"/>
    </row>
    <row r="211" spans="1:24" ht="21" thickBot="1">
      <c r="A211" s="188"/>
      <c r="B211" s="198" t="s">
        <v>89</v>
      </c>
      <c r="C211" s="199"/>
      <c r="D211" s="189"/>
      <c r="E211" s="189"/>
      <c r="F211" s="520">
        <v>1</v>
      </c>
      <c r="G211" s="190"/>
      <c r="I211" s="554"/>
      <c r="J211" s="554"/>
      <c r="K211" s="554"/>
      <c r="Q211" s="488"/>
      <c r="R211" s="488"/>
      <c r="S211" s="488"/>
      <c r="T211" s="488"/>
      <c r="U211" s="184"/>
      <c r="V211" s="184"/>
      <c r="W211" s="184"/>
      <c r="X211" s="184"/>
    </row>
    <row r="212" spans="1:24" ht="16.5" thickBot="1">
      <c r="A212" s="188"/>
      <c r="B212" s="198"/>
      <c r="C212" s="199"/>
      <c r="D212" s="189"/>
      <c r="E212" s="189"/>
      <c r="F212" s="206"/>
      <c r="G212" s="190"/>
      <c r="I212" s="554"/>
      <c r="J212" s="554"/>
      <c r="K212" s="554"/>
      <c r="Q212" s="488"/>
      <c r="R212" s="488"/>
      <c r="S212" s="488"/>
      <c r="T212" s="488"/>
      <c r="U212" s="184"/>
      <c r="V212" s="184"/>
      <c r="W212" s="184"/>
      <c r="X212" s="184"/>
    </row>
    <row r="213" spans="1:24" ht="21" thickBot="1">
      <c r="A213" s="188"/>
      <c r="B213" s="198" t="s">
        <v>90</v>
      </c>
      <c r="C213" s="199"/>
      <c r="D213" s="189"/>
      <c r="E213" s="189"/>
      <c r="F213" s="520">
        <v>44</v>
      </c>
      <c r="G213" s="190"/>
      <c r="I213" s="554"/>
      <c r="J213" s="554"/>
      <c r="K213" s="554"/>
      <c r="Q213" s="488"/>
      <c r="R213" s="488"/>
      <c r="S213" s="488"/>
      <c r="T213" s="488"/>
      <c r="U213" s="184"/>
      <c r="V213" s="184"/>
      <c r="W213" s="184"/>
      <c r="X213" s="184"/>
    </row>
    <row r="214" spans="1:24" ht="16.5" thickBot="1">
      <c r="A214" s="188"/>
      <c r="B214" s="198"/>
      <c r="C214" s="199"/>
      <c r="D214" s="189"/>
      <c r="E214" s="189"/>
      <c r="F214" s="206"/>
      <c r="G214" s="190"/>
      <c r="I214" s="554"/>
      <c r="J214" s="554"/>
      <c r="K214" s="554"/>
      <c r="Q214" s="488"/>
      <c r="R214" s="488"/>
      <c r="S214" s="488"/>
      <c r="T214" s="488"/>
      <c r="U214" s="184"/>
      <c r="V214" s="184"/>
      <c r="W214" s="184"/>
      <c r="X214" s="184"/>
    </row>
    <row r="215" spans="1:24" ht="21" thickBot="1">
      <c r="A215" s="188"/>
      <c r="B215" s="198" t="s">
        <v>91</v>
      </c>
      <c r="C215" s="199"/>
      <c r="D215" s="189"/>
      <c r="E215" s="189"/>
      <c r="F215" s="520">
        <v>0</v>
      </c>
      <c r="G215" s="190"/>
      <c r="I215" s="554"/>
      <c r="J215" s="554"/>
      <c r="K215" s="554"/>
      <c r="Q215" s="488"/>
      <c r="R215" s="488"/>
      <c r="S215" s="488"/>
      <c r="T215" s="488"/>
      <c r="U215" s="184"/>
      <c r="V215" s="184"/>
      <c r="W215" s="184"/>
      <c r="X215" s="184"/>
    </row>
    <row r="216" spans="1:24" ht="16.5" thickBot="1">
      <c r="A216" s="188"/>
      <c r="B216" s="198"/>
      <c r="C216" s="199"/>
      <c r="D216" s="189"/>
      <c r="E216" s="189"/>
      <c r="F216" s="206"/>
      <c r="G216" s="190"/>
      <c r="I216" s="554"/>
      <c r="J216" s="554"/>
      <c r="K216" s="554"/>
      <c r="Q216" s="488"/>
      <c r="R216" s="488"/>
      <c r="S216" s="488"/>
      <c r="T216" s="488"/>
      <c r="U216" s="184"/>
      <c r="V216" s="184"/>
      <c r="W216" s="184"/>
      <c r="X216" s="184"/>
    </row>
    <row r="217" spans="1:24" ht="21" thickBot="1">
      <c r="A217" s="188"/>
      <c r="B217" s="198" t="s">
        <v>92</v>
      </c>
      <c r="C217" s="199"/>
      <c r="D217" s="189"/>
      <c r="E217" s="189"/>
      <c r="F217" s="520">
        <v>0</v>
      </c>
      <c r="G217" s="190"/>
      <c r="I217" s="554"/>
      <c r="J217" s="554"/>
      <c r="K217" s="554"/>
      <c r="Q217" s="488"/>
      <c r="R217" s="488"/>
      <c r="S217" s="488"/>
      <c r="T217" s="488"/>
      <c r="U217" s="184"/>
      <c r="V217" s="184"/>
      <c r="W217" s="184"/>
      <c r="X217" s="184"/>
    </row>
    <row r="218" spans="1:24" ht="16.5" thickBot="1">
      <c r="A218" s="188"/>
      <c r="B218" s="198"/>
      <c r="C218" s="199"/>
      <c r="D218" s="189"/>
      <c r="E218" s="189"/>
      <c r="F218" s="206"/>
      <c r="G218" s="190"/>
      <c r="I218" s="554"/>
      <c r="J218" s="554"/>
      <c r="K218" s="554"/>
      <c r="Q218" s="488"/>
      <c r="R218" s="488"/>
      <c r="S218" s="488"/>
      <c r="T218" s="488"/>
      <c r="U218" s="184"/>
      <c r="V218" s="184"/>
      <c r="W218" s="184"/>
      <c r="X218" s="184"/>
    </row>
    <row r="219" spans="1:24" ht="21" thickBot="1">
      <c r="A219" s="188"/>
      <c r="B219" s="198" t="s">
        <v>93</v>
      </c>
      <c r="C219" s="199"/>
      <c r="D219" s="189"/>
      <c r="E219" s="189"/>
      <c r="F219" s="520">
        <v>0</v>
      </c>
      <c r="G219" s="190"/>
      <c r="I219" s="554"/>
      <c r="J219" s="554"/>
      <c r="K219" s="554"/>
      <c r="Q219" s="488"/>
      <c r="R219" s="488"/>
      <c r="S219" s="488"/>
      <c r="T219" s="488"/>
      <c r="U219" s="184"/>
      <c r="V219" s="184"/>
      <c r="W219" s="184"/>
      <c r="X219" s="184"/>
    </row>
    <row r="220" spans="1:24" ht="16.5" thickBot="1">
      <c r="A220" s="188"/>
      <c r="B220" s="198"/>
      <c r="C220" s="199"/>
      <c r="D220" s="189"/>
      <c r="E220" s="189"/>
      <c r="F220" s="206"/>
      <c r="G220" s="190"/>
      <c r="I220" s="554"/>
      <c r="J220" s="554"/>
      <c r="K220" s="554"/>
      <c r="Q220" s="488"/>
      <c r="R220" s="488"/>
      <c r="S220" s="488"/>
      <c r="T220" s="488"/>
      <c r="U220" s="184"/>
      <c r="V220" s="184"/>
      <c r="W220" s="184"/>
      <c r="X220" s="184"/>
    </row>
    <row r="221" spans="1:11" ht="21" thickBot="1">
      <c r="A221" s="188"/>
      <c r="B221" s="198" t="s">
        <v>94</v>
      </c>
      <c r="C221" s="199"/>
      <c r="D221" s="189"/>
      <c r="E221" s="189"/>
      <c r="F221" s="520">
        <v>1</v>
      </c>
      <c r="G221" s="190"/>
      <c r="I221" s="554"/>
      <c r="J221" s="554"/>
      <c r="K221" s="554"/>
    </row>
    <row r="222" spans="1:11" ht="15.75">
      <c r="A222" s="188"/>
      <c r="B222" s="198"/>
      <c r="C222" s="199"/>
      <c r="D222" s="189"/>
      <c r="E222" s="189"/>
      <c r="F222" s="274">
        <f>SUM(F178:F221)-F192-F206</f>
        <v>1002</v>
      </c>
      <c r="G222" s="190"/>
      <c r="I222" s="554"/>
      <c r="J222" s="554"/>
      <c r="K222" s="554"/>
    </row>
    <row r="223" spans="1:24" ht="12.75">
      <c r="A223" s="188"/>
      <c r="B223" s="791" t="s">
        <v>953</v>
      </c>
      <c r="C223" s="758"/>
      <c r="D223" s="758"/>
      <c r="E223" s="758"/>
      <c r="F223" s="758"/>
      <c r="G223" s="190"/>
      <c r="I223" s="554"/>
      <c r="J223" s="554"/>
      <c r="K223" s="554"/>
      <c r="Q223" s="488"/>
      <c r="R223" s="488"/>
      <c r="S223" s="488"/>
      <c r="T223" s="488"/>
      <c r="U223" s="184"/>
      <c r="V223" s="184"/>
      <c r="W223" s="184"/>
      <c r="X223" s="184"/>
    </row>
    <row r="224" spans="1:24" ht="25.5" customHeight="1">
      <c r="A224" s="188"/>
      <c r="B224" s="758"/>
      <c r="C224" s="758"/>
      <c r="D224" s="758"/>
      <c r="E224" s="758"/>
      <c r="F224" s="758"/>
      <c r="G224" s="190"/>
      <c r="I224" s="554"/>
      <c r="J224" s="554"/>
      <c r="K224" s="554"/>
      <c r="Q224" s="488"/>
      <c r="R224" s="488"/>
      <c r="S224" s="488"/>
      <c r="T224" s="488"/>
      <c r="U224" s="184"/>
      <c r="V224" s="184"/>
      <c r="W224" s="184"/>
      <c r="X224" s="184"/>
    </row>
    <row r="225" spans="1:24" ht="12.75">
      <c r="A225" s="188"/>
      <c r="B225" s="758"/>
      <c r="C225" s="758"/>
      <c r="D225" s="758"/>
      <c r="E225" s="758"/>
      <c r="F225" s="758"/>
      <c r="G225" s="190"/>
      <c r="I225" s="554"/>
      <c r="J225" s="554"/>
      <c r="K225" s="554"/>
      <c r="Q225" s="488"/>
      <c r="R225" s="488"/>
      <c r="S225" s="488"/>
      <c r="T225" s="488"/>
      <c r="U225" s="184"/>
      <c r="V225" s="184"/>
      <c r="W225" s="184"/>
      <c r="X225" s="184"/>
    </row>
    <row r="226" spans="1:24" ht="15" thickBot="1">
      <c r="A226" s="188"/>
      <c r="B226" s="203"/>
      <c r="C226" s="189"/>
      <c r="D226" s="189"/>
      <c r="E226" s="189"/>
      <c r="F226" s="193"/>
      <c r="G226" s="190"/>
      <c r="I226" s="554"/>
      <c r="J226" s="554"/>
      <c r="K226" s="554"/>
      <c r="Q226" s="488"/>
      <c r="R226" s="488"/>
      <c r="S226" s="488"/>
      <c r="T226" s="488"/>
      <c r="U226" s="184"/>
      <c r="V226" s="184"/>
      <c r="W226" s="184"/>
      <c r="X226" s="184"/>
    </row>
    <row r="227" spans="1:24" ht="14.25">
      <c r="A227" s="256"/>
      <c r="B227" s="284" t="s">
        <v>636</v>
      </c>
      <c r="C227" s="282"/>
      <c r="D227" s="282"/>
      <c r="E227" s="282"/>
      <c r="F227" s="283"/>
      <c r="G227" s="190"/>
      <c r="I227" s="554"/>
      <c r="J227" s="554"/>
      <c r="K227" s="554"/>
      <c r="Q227" s="488"/>
      <c r="R227" s="488"/>
      <c r="S227" s="488"/>
      <c r="T227" s="488"/>
      <c r="U227" s="184"/>
      <c r="V227" s="184"/>
      <c r="W227" s="184"/>
      <c r="X227" s="184"/>
    </row>
    <row r="228" spans="1:24" ht="12.75">
      <c r="A228" s="256"/>
      <c r="B228" s="739"/>
      <c r="C228" s="740"/>
      <c r="D228" s="740"/>
      <c r="E228" s="740"/>
      <c r="F228" s="741"/>
      <c r="G228" s="190"/>
      <c r="I228" s="554"/>
      <c r="J228" s="554"/>
      <c r="K228" s="554"/>
      <c r="Q228" s="488"/>
      <c r="R228" s="488"/>
      <c r="S228" s="488"/>
      <c r="T228" s="488"/>
      <c r="U228" s="184"/>
      <c r="V228" s="184"/>
      <c r="W228" s="184"/>
      <c r="X228" s="184"/>
    </row>
    <row r="229" spans="1:24" ht="12.75">
      <c r="A229" s="256"/>
      <c r="B229" s="739"/>
      <c r="C229" s="740"/>
      <c r="D229" s="740"/>
      <c r="E229" s="740"/>
      <c r="F229" s="741"/>
      <c r="G229" s="190"/>
      <c r="I229" s="554"/>
      <c r="J229" s="554"/>
      <c r="K229" s="554"/>
      <c r="Q229" s="488"/>
      <c r="R229" s="488"/>
      <c r="S229" s="488"/>
      <c r="T229" s="488"/>
      <c r="U229" s="184"/>
      <c r="V229" s="184"/>
      <c r="W229" s="184"/>
      <c r="X229" s="184"/>
    </row>
    <row r="230" spans="1:24" ht="12.75">
      <c r="A230" s="256"/>
      <c r="B230" s="739"/>
      <c r="C230" s="740"/>
      <c r="D230" s="740"/>
      <c r="E230" s="740"/>
      <c r="F230" s="741"/>
      <c r="G230" s="190"/>
      <c r="I230" s="554"/>
      <c r="J230" s="554"/>
      <c r="K230" s="554"/>
      <c r="Q230" s="488"/>
      <c r="R230" s="488"/>
      <c r="S230" s="488"/>
      <c r="T230" s="488"/>
      <c r="U230" s="184"/>
      <c r="V230" s="184"/>
      <c r="W230" s="184"/>
      <c r="X230" s="184"/>
    </row>
    <row r="231" spans="1:24" ht="12.75">
      <c r="A231" s="256"/>
      <c r="B231" s="739"/>
      <c r="C231" s="740"/>
      <c r="D231" s="740"/>
      <c r="E231" s="740"/>
      <c r="F231" s="741"/>
      <c r="G231" s="190"/>
      <c r="I231" s="554"/>
      <c r="J231" s="554"/>
      <c r="K231" s="554"/>
      <c r="Q231" s="488"/>
      <c r="R231" s="488"/>
      <c r="S231" s="488"/>
      <c r="T231" s="488"/>
      <c r="U231" s="184"/>
      <c r="V231" s="184"/>
      <c r="W231" s="184"/>
      <c r="X231" s="184"/>
    </row>
    <row r="232" spans="1:24" ht="12.75">
      <c r="A232" s="256"/>
      <c r="B232" s="739"/>
      <c r="C232" s="740"/>
      <c r="D232" s="740"/>
      <c r="E232" s="740"/>
      <c r="F232" s="741"/>
      <c r="G232" s="190"/>
      <c r="I232" s="554"/>
      <c r="J232" s="554"/>
      <c r="K232" s="554"/>
      <c r="Q232" s="488"/>
      <c r="R232" s="488"/>
      <c r="S232" s="488"/>
      <c r="T232" s="488"/>
      <c r="U232" s="184"/>
      <c r="V232" s="184"/>
      <c r="W232" s="184"/>
      <c r="X232" s="184"/>
    </row>
    <row r="233" spans="1:24" ht="12.75">
      <c r="A233" s="256"/>
      <c r="B233" s="739"/>
      <c r="C233" s="740"/>
      <c r="D233" s="740"/>
      <c r="E233" s="740"/>
      <c r="F233" s="741"/>
      <c r="G233" s="190"/>
      <c r="I233" s="554"/>
      <c r="J233" s="554"/>
      <c r="K233" s="554"/>
      <c r="Q233" s="488"/>
      <c r="R233" s="488"/>
      <c r="S233" s="488"/>
      <c r="T233" s="488"/>
      <c r="U233" s="184"/>
      <c r="V233" s="184"/>
      <c r="W233" s="184"/>
      <c r="X233" s="184"/>
    </row>
    <row r="234" spans="1:24" ht="12.75">
      <c r="A234" s="256"/>
      <c r="B234" s="739"/>
      <c r="C234" s="740"/>
      <c r="D234" s="740"/>
      <c r="E234" s="740"/>
      <c r="F234" s="741"/>
      <c r="G234" s="190"/>
      <c r="I234" s="554"/>
      <c r="J234" s="554"/>
      <c r="K234" s="554"/>
      <c r="Q234" s="488"/>
      <c r="R234" s="488"/>
      <c r="S234" s="488"/>
      <c r="T234" s="488"/>
      <c r="U234" s="184"/>
      <c r="V234" s="184"/>
      <c r="W234" s="184"/>
      <c r="X234" s="184"/>
    </row>
    <row r="235" spans="1:24" ht="12.75">
      <c r="A235" s="256"/>
      <c r="B235" s="739"/>
      <c r="C235" s="740"/>
      <c r="D235" s="740"/>
      <c r="E235" s="740"/>
      <c r="F235" s="741"/>
      <c r="G235" s="190"/>
      <c r="I235" s="554"/>
      <c r="J235" s="554"/>
      <c r="K235" s="554"/>
      <c r="Q235" s="488"/>
      <c r="R235" s="488"/>
      <c r="S235" s="488"/>
      <c r="T235" s="488"/>
      <c r="U235" s="184"/>
      <c r="V235" s="184"/>
      <c r="W235" s="184"/>
      <c r="X235" s="184"/>
    </row>
    <row r="236" spans="1:24" ht="12.75">
      <c r="A236" s="256"/>
      <c r="B236" s="739"/>
      <c r="C236" s="740"/>
      <c r="D236" s="740"/>
      <c r="E236" s="740"/>
      <c r="F236" s="741"/>
      <c r="G236" s="190"/>
      <c r="I236" s="554"/>
      <c r="J236" s="554"/>
      <c r="K236" s="554"/>
      <c r="Q236" s="488"/>
      <c r="R236" s="488"/>
      <c r="S236" s="488"/>
      <c r="T236" s="488"/>
      <c r="U236" s="184"/>
      <c r="V236" s="184"/>
      <c r="W236" s="184"/>
      <c r="X236" s="184"/>
    </row>
    <row r="237" spans="1:24" ht="12.75">
      <c r="A237" s="256"/>
      <c r="B237" s="739"/>
      <c r="C237" s="740"/>
      <c r="D237" s="740"/>
      <c r="E237" s="740"/>
      <c r="F237" s="741"/>
      <c r="G237" s="190"/>
      <c r="I237" s="554"/>
      <c r="J237" s="554"/>
      <c r="K237" s="554"/>
      <c r="Q237" s="488"/>
      <c r="R237" s="488"/>
      <c r="S237" s="488"/>
      <c r="T237" s="488"/>
      <c r="U237" s="184"/>
      <c r="V237" s="184"/>
      <c r="W237" s="184"/>
      <c r="X237" s="184"/>
    </row>
    <row r="238" spans="1:24" ht="12.75">
      <c r="A238" s="256"/>
      <c r="B238" s="739"/>
      <c r="C238" s="740"/>
      <c r="D238" s="740"/>
      <c r="E238" s="740"/>
      <c r="F238" s="741"/>
      <c r="G238" s="190"/>
      <c r="I238" s="554"/>
      <c r="J238" s="554"/>
      <c r="K238" s="554"/>
      <c r="Q238" s="488"/>
      <c r="R238" s="488"/>
      <c r="S238" s="488"/>
      <c r="T238" s="488"/>
      <c r="U238" s="184"/>
      <c r="V238" s="184"/>
      <c r="W238" s="184"/>
      <c r="X238" s="184"/>
    </row>
    <row r="239" spans="1:24" ht="12.75">
      <c r="A239" s="256"/>
      <c r="B239" s="739"/>
      <c r="C239" s="740"/>
      <c r="D239" s="740"/>
      <c r="E239" s="740"/>
      <c r="F239" s="741"/>
      <c r="G239" s="190"/>
      <c r="I239" s="554"/>
      <c r="J239" s="554"/>
      <c r="K239" s="554"/>
      <c r="Q239" s="488"/>
      <c r="R239" s="488"/>
      <c r="S239" s="488"/>
      <c r="T239" s="488"/>
      <c r="U239" s="184"/>
      <c r="V239" s="184"/>
      <c r="W239" s="184"/>
      <c r="X239" s="184"/>
    </row>
    <row r="240" spans="1:91" s="5" customFormat="1" ht="13.5" thickBot="1">
      <c r="A240" s="256"/>
      <c r="B240" s="742"/>
      <c r="C240" s="743"/>
      <c r="D240" s="743"/>
      <c r="E240" s="743"/>
      <c r="F240" s="744"/>
      <c r="G240" s="190"/>
      <c r="H240" s="546"/>
      <c r="I240" s="559"/>
      <c r="J240" s="559"/>
      <c r="K240" s="559"/>
      <c r="L240" s="546"/>
      <c r="M240" s="546"/>
      <c r="N240" s="546"/>
      <c r="O240" s="546"/>
      <c r="P240" s="546"/>
      <c r="Q240" s="546"/>
      <c r="R240" s="546"/>
      <c r="S240" s="546"/>
      <c r="T240" s="546"/>
      <c r="U240" s="183"/>
      <c r="V240" s="183"/>
      <c r="W240" s="183"/>
      <c r="X240" s="183"/>
      <c r="Y240" s="183"/>
      <c r="Z240" s="183"/>
      <c r="AA240" s="183"/>
      <c r="AB240" s="183"/>
      <c r="AC240" s="183"/>
      <c r="AD240" s="183"/>
      <c r="AE240" s="183"/>
      <c r="AF240" s="183"/>
      <c r="AG240" s="183"/>
      <c r="AH240" s="183"/>
      <c r="AI240" s="183"/>
      <c r="AJ240" s="183"/>
      <c r="AK240" s="183"/>
      <c r="AL240" s="183"/>
      <c r="AM240" s="183"/>
      <c r="AN240" s="183"/>
      <c r="AO240" s="183"/>
      <c r="AP240" s="183"/>
      <c r="AQ240" s="183"/>
      <c r="AR240" s="183"/>
      <c r="AS240" s="183"/>
      <c r="AT240" s="183"/>
      <c r="AU240" s="183"/>
      <c r="AV240" s="183"/>
      <c r="AW240" s="183"/>
      <c r="AX240" s="183"/>
      <c r="AY240" s="183"/>
      <c r="AZ240" s="183"/>
      <c r="BA240" s="183"/>
      <c r="BB240" s="183"/>
      <c r="BC240" s="183"/>
      <c r="BD240" s="183"/>
      <c r="BE240" s="183"/>
      <c r="BF240" s="183"/>
      <c r="BG240" s="183"/>
      <c r="BH240" s="183"/>
      <c r="BI240" s="183"/>
      <c r="BJ240" s="183"/>
      <c r="BK240" s="183"/>
      <c r="BL240" s="183"/>
      <c r="BM240" s="183"/>
      <c r="BN240" s="183"/>
      <c r="BO240" s="183"/>
      <c r="BP240" s="183"/>
      <c r="BQ240" s="183"/>
      <c r="BR240" s="183"/>
      <c r="BS240" s="183"/>
      <c r="BT240" s="183"/>
      <c r="BU240" s="183"/>
      <c r="BV240" s="183"/>
      <c r="BW240" s="183"/>
      <c r="BX240" s="183"/>
      <c r="BY240" s="183"/>
      <c r="BZ240" s="183"/>
      <c r="CA240" s="183"/>
      <c r="CB240" s="183"/>
      <c r="CC240" s="183"/>
      <c r="CD240" s="183"/>
      <c r="CE240" s="183"/>
      <c r="CF240" s="183"/>
      <c r="CG240" s="183"/>
      <c r="CH240" s="183"/>
      <c r="CI240" s="183"/>
      <c r="CJ240" s="183"/>
      <c r="CK240" s="183"/>
      <c r="CL240" s="183"/>
      <c r="CM240" s="183"/>
    </row>
    <row r="241" spans="1:11" ht="18.75" thickBot="1">
      <c r="A241" s="192"/>
      <c r="B241" s="319"/>
      <c r="C241" s="320"/>
      <c r="D241" s="321"/>
      <c r="E241" s="321"/>
      <c r="F241" s="321"/>
      <c r="G241" s="194"/>
      <c r="I241" s="554"/>
      <c r="J241" s="554"/>
      <c r="K241" s="554"/>
    </row>
    <row r="242" spans="1:91" s="232" customFormat="1" ht="14.25">
      <c r="A242" s="315"/>
      <c r="B242" s="186"/>
      <c r="C242" s="186"/>
      <c r="D242" s="186"/>
      <c r="E242" s="186"/>
      <c r="F242" s="186"/>
      <c r="G242" s="187"/>
      <c r="H242" s="548"/>
      <c r="I242" s="560"/>
      <c r="J242" s="560"/>
      <c r="K242" s="560"/>
      <c r="L242" s="561"/>
      <c r="M242" s="561"/>
      <c r="N242" s="561"/>
      <c r="O242" s="561"/>
      <c r="P242" s="561"/>
      <c r="Q242" s="561"/>
      <c r="R242" s="561"/>
      <c r="S242" s="561"/>
      <c r="T242" s="561"/>
      <c r="U242" s="233"/>
      <c r="V242" s="231"/>
      <c r="W242" s="231"/>
      <c r="X242" s="234"/>
      <c r="Y242" s="233"/>
      <c r="Z242" s="233"/>
      <c r="AA242" s="233"/>
      <c r="AB242" s="233"/>
      <c r="AC242" s="233"/>
      <c r="AD242" s="233"/>
      <c r="AE242" s="233"/>
      <c r="AF242" s="233"/>
      <c r="AG242" s="233"/>
      <c r="AH242" s="233"/>
      <c r="AI242" s="233"/>
      <c r="AJ242" s="233"/>
      <c r="AK242" s="233"/>
      <c r="AL242" s="233"/>
      <c r="AM242" s="233"/>
      <c r="AN242" s="233"/>
      <c r="AO242" s="233"/>
      <c r="AP242" s="233"/>
      <c r="AQ242" s="233"/>
      <c r="AR242" s="233"/>
      <c r="AS242" s="233"/>
      <c r="AT242" s="233"/>
      <c r="AU242" s="233"/>
      <c r="AV242" s="233"/>
      <c r="AW242" s="233"/>
      <c r="AX242" s="233"/>
      <c r="AY242" s="233"/>
      <c r="AZ242" s="233"/>
      <c r="BA242" s="233"/>
      <c r="BB242" s="233"/>
      <c r="BC242" s="233"/>
      <c r="BD242" s="233"/>
      <c r="BE242" s="233"/>
      <c r="BF242" s="233"/>
      <c r="BG242" s="233"/>
      <c r="BH242" s="233"/>
      <c r="BI242" s="233"/>
      <c r="BJ242" s="233"/>
      <c r="BK242" s="233"/>
      <c r="BL242" s="233"/>
      <c r="BM242" s="233"/>
      <c r="BN242" s="233"/>
      <c r="BO242" s="233"/>
      <c r="BP242" s="233"/>
      <c r="BQ242" s="233"/>
      <c r="BR242" s="233"/>
      <c r="BS242" s="233"/>
      <c r="BT242" s="233"/>
      <c r="BU242" s="233"/>
      <c r="BV242" s="233"/>
      <c r="BW242" s="233"/>
      <c r="BX242" s="233"/>
      <c r="BY242" s="233"/>
      <c r="BZ242" s="233"/>
      <c r="CA242" s="233"/>
      <c r="CB242" s="233"/>
      <c r="CC242" s="233"/>
      <c r="CD242" s="233"/>
      <c r="CE242" s="233"/>
      <c r="CF242" s="233"/>
      <c r="CG242" s="233"/>
      <c r="CH242" s="233"/>
      <c r="CI242" s="233"/>
      <c r="CJ242" s="233"/>
      <c r="CK242" s="233"/>
      <c r="CL242" s="233"/>
      <c r="CM242" s="233"/>
    </row>
    <row r="243" spans="1:11" ht="18">
      <c r="A243" s="316"/>
      <c r="B243" s="317" t="s">
        <v>17</v>
      </c>
      <c r="C243" s="189"/>
      <c r="D243" s="189"/>
      <c r="E243" s="45"/>
      <c r="F243" s="45"/>
      <c r="G243" s="46"/>
      <c r="H243" s="559"/>
      <c r="I243" s="554"/>
      <c r="J243" s="554"/>
      <c r="K243" s="554"/>
    </row>
    <row r="244" spans="1:11" ht="18.75" thickBot="1">
      <c r="A244" s="316"/>
      <c r="B244" s="317"/>
      <c r="C244" s="189"/>
      <c r="D244" s="189"/>
      <c r="E244" s="45"/>
      <c r="F244" s="594">
        <f>IF(OR(F245="",F246="",F247="",F248="",F249="",F250="",F251="",F252="",F256="",F257="",F258="",F259="",F260="",F261="",F262="",,F263=""),"Please ensure all boxes below have a value entered","")</f>
      </c>
      <c r="G244" s="46"/>
      <c r="H244" s="559"/>
      <c r="I244" s="554"/>
      <c r="J244" s="554"/>
      <c r="K244" s="554"/>
    </row>
    <row r="245" spans="1:7" ht="15" customHeight="1" thickBot="1">
      <c r="A245" s="316"/>
      <c r="B245" s="796" t="s">
        <v>1075</v>
      </c>
      <c r="C245" s="797"/>
      <c r="D245" s="797"/>
      <c r="E245" s="332" t="s">
        <v>885</v>
      </c>
      <c r="F245" s="521">
        <v>35</v>
      </c>
      <c r="G245" s="190"/>
    </row>
    <row r="246" spans="1:74" ht="15" customHeight="1" thickBot="1">
      <c r="A246" s="316"/>
      <c r="B246" s="797"/>
      <c r="C246" s="797"/>
      <c r="D246" s="797"/>
      <c r="E246" s="332" t="s">
        <v>886</v>
      </c>
      <c r="F246" s="521">
        <v>266</v>
      </c>
      <c r="G246" s="190"/>
      <c r="L246" s="562"/>
      <c r="M246" s="563"/>
      <c r="N246" s="563"/>
      <c r="O246" s="563"/>
      <c r="P246" s="563"/>
      <c r="Q246" s="563"/>
      <c r="R246" s="563"/>
      <c r="S246" s="563"/>
      <c r="T246" s="563"/>
      <c r="U246" s="308"/>
      <c r="V246" s="308"/>
      <c r="W246" s="308"/>
      <c r="X246" s="308"/>
      <c r="Y246" s="308"/>
      <c r="Z246" s="308"/>
      <c r="AA246" s="308"/>
      <c r="AB246" s="308"/>
      <c r="AC246" s="308"/>
      <c r="AD246" s="308"/>
      <c r="AE246" s="308"/>
      <c r="AF246" s="308"/>
      <c r="AG246" s="308"/>
      <c r="AH246" s="308"/>
      <c r="AI246" s="308"/>
      <c r="AJ246" s="308"/>
      <c r="AK246" s="308"/>
      <c r="AL246" s="308"/>
      <c r="AM246" s="308"/>
      <c r="AN246" s="308"/>
      <c r="AO246" s="308"/>
      <c r="AP246" s="308"/>
      <c r="AQ246" s="308"/>
      <c r="AR246" s="308"/>
      <c r="AS246" s="308"/>
      <c r="AT246" s="308"/>
      <c r="AU246" s="308"/>
      <c r="AV246" s="308"/>
      <c r="AW246" s="308"/>
      <c r="AX246" s="308"/>
      <c r="AY246" s="308"/>
      <c r="AZ246" s="308"/>
      <c r="BA246" s="308"/>
      <c r="BB246" s="308"/>
      <c r="BC246" s="308"/>
      <c r="BD246" s="308"/>
      <c r="BE246" s="308"/>
      <c r="BF246" s="308"/>
      <c r="BG246" s="308"/>
      <c r="BH246" s="308"/>
      <c r="BI246" s="308"/>
      <c r="BJ246" s="308"/>
      <c r="BK246" s="308"/>
      <c r="BL246" s="308"/>
      <c r="BM246" s="528"/>
      <c r="BN246" s="308"/>
      <c r="BO246" s="308"/>
      <c r="BP246" s="308"/>
      <c r="BQ246" s="308"/>
      <c r="BR246" s="308"/>
      <c r="BS246" s="308"/>
      <c r="BT246" s="308"/>
      <c r="BU246" s="308"/>
      <c r="BV246" s="529"/>
    </row>
    <row r="247" spans="1:228" ht="15" customHeight="1" thickBot="1">
      <c r="A247" s="316"/>
      <c r="B247" s="797"/>
      <c r="C247" s="797"/>
      <c r="D247" s="797"/>
      <c r="E247" s="332" t="s">
        <v>887</v>
      </c>
      <c r="F247" s="521">
        <v>643</v>
      </c>
      <c r="G247" s="190"/>
      <c r="L247" s="564" t="s">
        <v>967</v>
      </c>
      <c r="M247" s="565" t="str">
        <f>+'CTB Form'!D17</f>
        <v>Brent</v>
      </c>
      <c r="N247" s="566" t="e">
        <f>#REF!</f>
        <v>#REF!</v>
      </c>
      <c r="O247" s="502">
        <f>F40</f>
        <v>571</v>
      </c>
      <c r="P247" s="502">
        <f>F42</f>
        <v>175</v>
      </c>
      <c r="Q247" s="502">
        <f>F44</f>
        <v>465</v>
      </c>
      <c r="R247" s="502">
        <f>F46</f>
        <v>3</v>
      </c>
      <c r="S247" s="502">
        <f>F48</f>
        <v>65</v>
      </c>
      <c r="T247" s="502">
        <f>$F50</f>
        <v>254</v>
      </c>
      <c r="U247" s="309">
        <f>$F52</f>
        <v>2</v>
      </c>
      <c r="V247" s="309">
        <f>$F54</f>
        <v>5</v>
      </c>
      <c r="W247" s="309">
        <f>$F56</f>
        <v>6</v>
      </c>
      <c r="X247" s="309">
        <f>$F58</f>
        <v>2</v>
      </c>
      <c r="Y247" s="309">
        <f>$F60</f>
        <v>4</v>
      </c>
      <c r="Z247" s="309">
        <f>$F62</f>
        <v>20</v>
      </c>
      <c r="AA247" s="309">
        <f>$F64</f>
        <v>104</v>
      </c>
      <c r="AB247" s="309">
        <f>$F66</f>
        <v>1342</v>
      </c>
      <c r="AC247" s="309">
        <f>$F68</f>
        <v>0</v>
      </c>
      <c r="AD247" s="309">
        <f>$F70</f>
        <v>4</v>
      </c>
      <c r="AE247" s="309">
        <f>$F72</f>
        <v>2</v>
      </c>
      <c r="AF247" s="309">
        <f>$F74</f>
        <v>0</v>
      </c>
      <c r="AG247" s="309">
        <f>$F76</f>
        <v>13</v>
      </c>
      <c r="AH247" s="309">
        <f>$F78</f>
        <v>0</v>
      </c>
      <c r="AI247" s="309">
        <f>$F80</f>
        <v>189</v>
      </c>
      <c r="AJ247" s="309">
        <f>$F83</f>
        <v>152</v>
      </c>
      <c r="AK247" s="309">
        <f>$F85</f>
        <v>1</v>
      </c>
      <c r="AL247" s="309">
        <f>$F88</f>
        <v>3379</v>
      </c>
      <c r="AM247" s="530">
        <f>+Data!DZ10</f>
        <v>2</v>
      </c>
      <c r="AN247" s="530">
        <f>+Data!DZ14</f>
        <v>2</v>
      </c>
      <c r="AO247" s="530">
        <f>+Data!DZ19</f>
        <v>1</v>
      </c>
      <c r="AP247" s="530">
        <f>+Data!DZ23</f>
        <v>1</v>
      </c>
      <c r="AQ247" s="311">
        <f>F142</f>
        <v>0</v>
      </c>
      <c r="AR247" s="311">
        <f>D144</f>
        <v>0</v>
      </c>
      <c r="AS247" s="311">
        <f>F144</f>
        <v>0</v>
      </c>
      <c r="AT247" s="311">
        <f>D145</f>
        <v>0</v>
      </c>
      <c r="AU247" s="311">
        <f>F145</f>
        <v>0</v>
      </c>
      <c r="AV247" s="311">
        <f>D146</f>
        <v>0</v>
      </c>
      <c r="AW247" s="311">
        <f>F146</f>
        <v>0</v>
      </c>
      <c r="AX247" s="311">
        <f>D147</f>
        <v>0</v>
      </c>
      <c r="AY247" s="311">
        <f>F147</f>
        <v>0</v>
      </c>
      <c r="AZ247" s="309">
        <f>$F178</f>
        <v>5</v>
      </c>
      <c r="BA247" s="309">
        <f>$F180</f>
        <v>143</v>
      </c>
      <c r="BB247" s="309">
        <f>$F182</f>
        <v>0</v>
      </c>
      <c r="BC247" s="309">
        <f>$F184</f>
        <v>0</v>
      </c>
      <c r="BD247" s="309">
        <f>$F186</f>
        <v>0</v>
      </c>
      <c r="BE247" s="309">
        <f>$F188</f>
        <v>661</v>
      </c>
      <c r="BF247" s="309">
        <f>$F190</f>
        <v>2</v>
      </c>
      <c r="BG247" s="309">
        <f>$F192</f>
        <v>0</v>
      </c>
      <c r="BH247" s="309">
        <f>$F194</f>
        <v>3</v>
      </c>
      <c r="BI247" s="309">
        <f>$F196</f>
        <v>0</v>
      </c>
      <c r="BJ247" s="309">
        <f>$F198</f>
        <v>4</v>
      </c>
      <c r="BK247" s="309">
        <f>$F200</f>
        <v>86</v>
      </c>
      <c r="BL247" s="309">
        <f>$F202</f>
        <v>17</v>
      </c>
      <c r="BM247" s="309">
        <f>$F204</f>
        <v>0</v>
      </c>
      <c r="BN247" s="309">
        <f>$F206</f>
        <v>17</v>
      </c>
      <c r="BO247" s="309">
        <f>$F209</f>
        <v>35</v>
      </c>
      <c r="BP247" s="309">
        <f>$F211</f>
        <v>1</v>
      </c>
      <c r="BQ247" s="309">
        <f>$F213</f>
        <v>44</v>
      </c>
      <c r="BR247" s="309">
        <f>$F215</f>
        <v>0</v>
      </c>
      <c r="BS247" s="309">
        <f>$F217</f>
        <v>0</v>
      </c>
      <c r="BT247" s="309">
        <f>$F219</f>
        <v>0</v>
      </c>
      <c r="BU247" s="309">
        <f>$F221</f>
        <v>1</v>
      </c>
      <c r="BV247" s="477"/>
      <c r="BY247" s="531"/>
      <c r="BZ247" s="531"/>
      <c r="CA247" s="531"/>
      <c r="CB247" s="531"/>
      <c r="CC247" s="531"/>
      <c r="CD247" s="531"/>
      <c r="CE247" s="531"/>
      <c r="CF247" s="531"/>
      <c r="CG247" s="531"/>
      <c r="CH247" s="531"/>
      <c r="CI247" s="531"/>
      <c r="CJ247" s="531"/>
      <c r="CK247" s="531"/>
      <c r="CL247" s="531"/>
      <c r="CM247" s="531"/>
      <c r="CN247" s="218"/>
      <c r="CO247" s="218"/>
      <c r="CP247" s="218"/>
      <c r="CQ247" s="218"/>
      <c r="CR247" s="218"/>
      <c r="CS247" s="218"/>
      <c r="CT247" s="218"/>
      <c r="CU247" s="218"/>
      <c r="CV247" s="218"/>
      <c r="CW247" s="218"/>
      <c r="CX247" s="218"/>
      <c r="CY247" s="218"/>
      <c r="CZ247" s="218"/>
      <c r="DA247" s="218"/>
      <c r="DB247" s="218"/>
      <c r="DC247" s="218"/>
      <c r="DD247" s="218"/>
      <c r="DE247" s="218"/>
      <c r="DF247" s="218"/>
      <c r="DG247" s="218"/>
      <c r="DH247" s="218"/>
      <c r="DI247" s="218"/>
      <c r="DJ247" s="218"/>
      <c r="DK247" s="218"/>
      <c r="DL247" s="218"/>
      <c r="DM247" s="218"/>
      <c r="DN247" s="218"/>
      <c r="DO247" s="218"/>
      <c r="DP247" s="218"/>
      <c r="DQ247" s="218"/>
      <c r="DR247" s="218"/>
      <c r="DS247" s="218"/>
      <c r="DT247" s="218"/>
      <c r="DU247" s="218"/>
      <c r="DV247" s="218"/>
      <c r="DW247" s="218"/>
      <c r="DX247" s="218"/>
      <c r="DY247" s="218"/>
      <c r="DZ247" s="218"/>
      <c r="EA247" s="218"/>
      <c r="EB247" s="218"/>
      <c r="EC247" s="218"/>
      <c r="ED247" s="218"/>
      <c r="EE247" s="218"/>
      <c r="EF247" s="218"/>
      <c r="EG247" s="218"/>
      <c r="EH247" s="218"/>
      <c r="EI247" s="218"/>
      <c r="EJ247" s="218"/>
      <c r="EK247" s="218"/>
      <c r="EL247" s="218"/>
      <c r="EM247" s="218"/>
      <c r="EN247" s="218"/>
      <c r="EO247" s="218"/>
      <c r="EP247" s="218"/>
      <c r="EQ247" s="218"/>
      <c r="ER247" s="218"/>
      <c r="ES247" s="218"/>
      <c r="ET247" s="218"/>
      <c r="EU247" s="218"/>
      <c r="EV247" s="218"/>
      <c r="EW247" s="218"/>
      <c r="EX247" s="218"/>
      <c r="EY247" s="218"/>
      <c r="EZ247" s="218"/>
      <c r="FA247" s="218"/>
      <c r="FB247" s="218"/>
      <c r="FC247" s="218"/>
      <c r="FD247" s="218"/>
      <c r="FE247" s="218"/>
      <c r="FF247" s="218"/>
      <c r="FG247" s="218"/>
      <c r="FH247" s="218"/>
      <c r="FI247" s="218"/>
      <c r="FJ247" s="218"/>
      <c r="FK247" s="218"/>
      <c r="FL247" s="218"/>
      <c r="FM247" s="218"/>
      <c r="FN247" s="218"/>
      <c r="FO247" s="218"/>
      <c r="FP247" s="218"/>
      <c r="FQ247" s="218"/>
      <c r="FR247" s="218"/>
      <c r="FS247" s="218"/>
      <c r="FT247" s="218"/>
      <c r="FU247" s="218"/>
      <c r="FV247" s="218"/>
      <c r="FW247" s="218"/>
      <c r="FX247" s="218"/>
      <c r="FY247" s="218"/>
      <c r="FZ247" s="218"/>
      <c r="GA247" s="218"/>
      <c r="GB247" s="218"/>
      <c r="GC247" s="218"/>
      <c r="GD247" s="218"/>
      <c r="GE247" s="218"/>
      <c r="GF247" s="218"/>
      <c r="GG247" s="218"/>
      <c r="GH247" s="218"/>
      <c r="GI247" s="218"/>
      <c r="GJ247" s="218"/>
      <c r="GK247" s="218"/>
      <c r="GL247" s="218"/>
      <c r="GM247" s="218"/>
      <c r="GN247" s="218"/>
      <c r="GO247" s="218"/>
      <c r="GP247" s="218"/>
      <c r="GQ247" s="218"/>
      <c r="GR247" s="218"/>
      <c r="GS247" s="218"/>
      <c r="GT247" s="218"/>
      <c r="GU247" s="218"/>
      <c r="GV247" s="218"/>
      <c r="GW247" s="218"/>
      <c r="GX247" s="218"/>
      <c r="GY247" s="218"/>
      <c r="GZ247" s="218"/>
      <c r="HA247" s="218"/>
      <c r="HB247" s="218"/>
      <c r="HC247" s="218"/>
      <c r="HD247" s="218"/>
      <c r="HE247" s="218"/>
      <c r="HF247" s="218"/>
      <c r="HG247" s="218"/>
      <c r="HH247" s="218"/>
      <c r="HI247" s="218"/>
      <c r="HJ247" s="218"/>
      <c r="HK247" s="218"/>
      <c r="HL247" s="218"/>
      <c r="HM247" s="218"/>
      <c r="HN247" s="218"/>
      <c r="HO247" s="218"/>
      <c r="HP247" s="218"/>
      <c r="HQ247" s="218"/>
      <c r="HR247" s="218"/>
      <c r="HS247" s="218"/>
      <c r="HT247" s="218"/>
    </row>
    <row r="248" spans="1:228" ht="15" customHeight="1" thickBot="1">
      <c r="A248" s="316"/>
      <c r="B248" s="544"/>
      <c r="C248" s="544"/>
      <c r="D248" s="544"/>
      <c r="E248" s="332" t="s">
        <v>888</v>
      </c>
      <c r="F248" s="521">
        <v>363</v>
      </c>
      <c r="G248" s="190"/>
      <c r="L248" s="564"/>
      <c r="M248" s="502"/>
      <c r="N248" s="502"/>
      <c r="O248" s="502"/>
      <c r="P248" s="502"/>
      <c r="Q248" s="502"/>
      <c r="R248" s="502"/>
      <c r="S248" s="502"/>
      <c r="T248" s="502"/>
      <c r="U248" s="310"/>
      <c r="V248" s="310"/>
      <c r="W248" s="310"/>
      <c r="X248" s="310"/>
      <c r="Y248" s="310"/>
      <c r="Z248" s="310"/>
      <c r="AA248" s="310"/>
      <c r="AB248" s="310"/>
      <c r="AC248" s="310"/>
      <c r="AD248" s="310"/>
      <c r="AE248" s="310"/>
      <c r="AF248" s="310"/>
      <c r="AG248" s="310"/>
      <c r="AH248" s="310"/>
      <c r="AI248" s="310"/>
      <c r="AJ248" s="310"/>
      <c r="AK248" s="310"/>
      <c r="AL248" s="310"/>
      <c r="AM248" s="310"/>
      <c r="AN248" s="310"/>
      <c r="AO248" s="310"/>
      <c r="AP248" s="310"/>
      <c r="AQ248" s="310"/>
      <c r="AR248" s="310"/>
      <c r="AS248" s="310"/>
      <c r="AT248" s="310"/>
      <c r="AU248" s="310"/>
      <c r="AV248" s="310"/>
      <c r="AW248" s="310"/>
      <c r="AX248" s="310"/>
      <c r="AY248" s="310"/>
      <c r="AZ248" s="310"/>
      <c r="BA248" s="310"/>
      <c r="BB248" s="310"/>
      <c r="BC248" s="310"/>
      <c r="BD248" s="310"/>
      <c r="BE248" s="310"/>
      <c r="BF248" s="310"/>
      <c r="BG248" s="310"/>
      <c r="BH248" s="310"/>
      <c r="BI248" s="310"/>
      <c r="BJ248" s="310"/>
      <c r="BK248" s="310"/>
      <c r="BL248" s="310"/>
      <c r="BM248" s="310"/>
      <c r="BN248" s="310"/>
      <c r="BO248" s="310"/>
      <c r="BP248" s="310"/>
      <c r="BQ248" s="310"/>
      <c r="BR248" s="310"/>
      <c r="BS248" s="310"/>
      <c r="BT248" s="310"/>
      <c r="BU248" s="310"/>
      <c r="BV248" s="532"/>
      <c r="BW248" s="531"/>
      <c r="BX248" s="531"/>
      <c r="BY248" s="531"/>
      <c r="BZ248" s="531"/>
      <c r="CA248" s="531"/>
      <c r="CB248" s="531"/>
      <c r="CC248" s="531"/>
      <c r="CD248" s="531"/>
      <c r="CE248" s="531"/>
      <c r="CF248" s="531"/>
      <c r="CG248" s="531"/>
      <c r="CH248" s="531"/>
      <c r="CI248" s="531"/>
      <c r="CJ248" s="531"/>
      <c r="CK248" s="531"/>
      <c r="CL248" s="531"/>
      <c r="CM248" s="531"/>
      <c r="CN248" s="218"/>
      <c r="CO248" s="218"/>
      <c r="CP248" s="218"/>
      <c r="CQ248" s="218"/>
      <c r="CR248" s="218"/>
      <c r="CS248" s="218"/>
      <c r="CT248" s="218"/>
      <c r="CU248" s="218"/>
      <c r="CV248" s="218"/>
      <c r="CW248" s="218"/>
      <c r="CX248" s="218"/>
      <c r="CY248" s="218"/>
      <c r="CZ248" s="218"/>
      <c r="DA248" s="218"/>
      <c r="DB248" s="218"/>
      <c r="DC248" s="218"/>
      <c r="DD248" s="218"/>
      <c r="DE248" s="218"/>
      <c r="DF248" s="218"/>
      <c r="DG248" s="218"/>
      <c r="DH248" s="218"/>
      <c r="DI248" s="218"/>
      <c r="DJ248" s="218"/>
      <c r="DK248" s="218"/>
      <c r="DL248" s="218"/>
      <c r="DM248" s="218"/>
      <c r="DN248" s="218"/>
      <c r="DO248" s="218"/>
      <c r="DP248" s="218"/>
      <c r="DQ248" s="218"/>
      <c r="DR248" s="218"/>
      <c r="DS248" s="218"/>
      <c r="DT248" s="218"/>
      <c r="DU248" s="218"/>
      <c r="DV248" s="218"/>
      <c r="DW248" s="218"/>
      <c r="DX248" s="218"/>
      <c r="DY248" s="218"/>
      <c r="DZ248" s="218"/>
      <c r="EA248" s="218"/>
      <c r="EB248" s="218"/>
      <c r="EC248" s="218"/>
      <c r="ED248" s="218"/>
      <c r="EE248" s="218"/>
      <c r="EF248" s="218"/>
      <c r="EG248" s="218"/>
      <c r="EH248" s="218"/>
      <c r="EI248" s="218"/>
      <c r="EJ248" s="218"/>
      <c r="EK248" s="218"/>
      <c r="EL248" s="218"/>
      <c r="EM248" s="218"/>
      <c r="EN248" s="218"/>
      <c r="EO248" s="218"/>
      <c r="EP248" s="218"/>
      <c r="EQ248" s="218"/>
      <c r="ER248" s="218"/>
      <c r="ES248" s="218"/>
      <c r="ET248" s="218"/>
      <c r="EU248" s="218"/>
      <c r="EV248" s="218"/>
      <c r="EW248" s="218"/>
      <c r="EX248" s="218"/>
      <c r="EY248" s="218"/>
      <c r="EZ248" s="218"/>
      <c r="FA248" s="218"/>
      <c r="FB248" s="218"/>
      <c r="FC248" s="218"/>
      <c r="FD248" s="218"/>
      <c r="FE248" s="218"/>
      <c r="FF248" s="218"/>
      <c r="FG248" s="218"/>
      <c r="FH248" s="218"/>
      <c r="FI248" s="218"/>
      <c r="FJ248" s="218"/>
      <c r="FK248" s="218"/>
      <c r="FL248" s="218"/>
      <c r="FM248" s="218"/>
      <c r="FN248" s="218"/>
      <c r="FO248" s="218"/>
      <c r="FP248" s="218"/>
      <c r="FQ248" s="218"/>
      <c r="FR248" s="218"/>
      <c r="FS248" s="218"/>
      <c r="FT248" s="218"/>
      <c r="FU248" s="218"/>
      <c r="FV248" s="218"/>
      <c r="FW248" s="218"/>
      <c r="FX248" s="218"/>
      <c r="FY248" s="218"/>
      <c r="FZ248" s="218"/>
      <c r="GA248" s="218"/>
      <c r="GB248" s="218"/>
      <c r="GC248" s="218"/>
      <c r="GD248" s="218"/>
      <c r="GE248" s="218"/>
      <c r="GF248" s="218"/>
      <c r="GG248" s="218"/>
      <c r="GH248" s="218"/>
      <c r="GI248" s="218"/>
      <c r="GJ248" s="218"/>
      <c r="GK248" s="218"/>
      <c r="GL248" s="218"/>
      <c r="GM248" s="218"/>
      <c r="GN248" s="218"/>
      <c r="GO248" s="218"/>
      <c r="GP248" s="218"/>
      <c r="GQ248" s="218"/>
      <c r="GR248" s="218"/>
      <c r="GS248" s="218"/>
      <c r="GT248" s="218"/>
      <c r="GU248" s="218"/>
      <c r="GV248" s="218"/>
      <c r="GW248" s="218"/>
      <c r="GX248" s="218"/>
      <c r="GY248" s="218"/>
      <c r="GZ248" s="218"/>
      <c r="HA248" s="218"/>
      <c r="HB248" s="218"/>
      <c r="HC248" s="218"/>
      <c r="HD248" s="218"/>
      <c r="HE248" s="218"/>
      <c r="HF248" s="218"/>
      <c r="HG248" s="218"/>
      <c r="HH248" s="218"/>
      <c r="HI248" s="218"/>
      <c r="HJ248" s="218"/>
      <c r="HK248" s="218"/>
      <c r="HL248" s="218"/>
      <c r="HM248" s="218"/>
      <c r="HN248" s="218"/>
      <c r="HO248" s="218"/>
      <c r="HP248" s="218"/>
      <c r="HQ248" s="218"/>
      <c r="HR248" s="218"/>
      <c r="HS248" s="218"/>
      <c r="HT248" s="218"/>
    </row>
    <row r="249" spans="1:74" ht="15" customHeight="1" thickBot="1">
      <c r="A249" s="316"/>
      <c r="B249" s="544"/>
      <c r="C249" s="544"/>
      <c r="D249" s="544"/>
      <c r="E249" s="332" t="s">
        <v>889</v>
      </c>
      <c r="F249" s="521">
        <v>162</v>
      </c>
      <c r="G249" s="190"/>
      <c r="L249" s="564"/>
      <c r="M249" s="502"/>
      <c r="N249" s="502"/>
      <c r="O249" s="567">
        <v>1</v>
      </c>
      <c r="P249" s="502">
        <v>2</v>
      </c>
      <c r="Q249" s="502">
        <v>3</v>
      </c>
      <c r="R249" s="502">
        <v>4</v>
      </c>
      <c r="S249" s="502">
        <v>5</v>
      </c>
      <c r="T249" s="502">
        <v>6</v>
      </c>
      <c r="U249" s="311">
        <v>7</v>
      </c>
      <c r="V249" s="311">
        <v>8</v>
      </c>
      <c r="W249" s="311">
        <v>9</v>
      </c>
      <c r="X249" s="311">
        <v>10</v>
      </c>
      <c r="Y249" s="311">
        <v>11</v>
      </c>
      <c r="Z249" s="311">
        <v>12</v>
      </c>
      <c r="AA249" s="311">
        <v>13</v>
      </c>
      <c r="AB249" s="311">
        <v>14</v>
      </c>
      <c r="AC249" s="311">
        <v>15</v>
      </c>
      <c r="AD249" s="311">
        <v>16</v>
      </c>
      <c r="AE249" s="311">
        <v>17</v>
      </c>
      <c r="AF249" s="311">
        <v>18</v>
      </c>
      <c r="AG249" s="311">
        <v>19</v>
      </c>
      <c r="AH249" s="311">
        <v>20</v>
      </c>
      <c r="AI249" s="311">
        <v>21</v>
      </c>
      <c r="AJ249" s="311">
        <v>22</v>
      </c>
      <c r="AK249" s="311">
        <v>23</v>
      </c>
      <c r="AL249" s="311">
        <v>24</v>
      </c>
      <c r="AM249" s="311">
        <v>25</v>
      </c>
      <c r="AN249" s="311">
        <v>26</v>
      </c>
      <c r="AO249" s="311">
        <v>27</v>
      </c>
      <c r="AP249" s="311">
        <v>28</v>
      </c>
      <c r="AQ249" s="311">
        <v>29</v>
      </c>
      <c r="AR249" s="311">
        <v>30</v>
      </c>
      <c r="AS249" s="311">
        <v>31</v>
      </c>
      <c r="AT249" s="311">
        <v>32</v>
      </c>
      <c r="AU249" s="311">
        <v>33</v>
      </c>
      <c r="AV249" s="311">
        <v>34</v>
      </c>
      <c r="AW249" s="311">
        <v>35</v>
      </c>
      <c r="AX249" s="311">
        <v>36</v>
      </c>
      <c r="AY249" s="311">
        <v>37</v>
      </c>
      <c r="AZ249" s="311">
        <v>38</v>
      </c>
      <c r="BA249" s="311">
        <v>39</v>
      </c>
      <c r="BB249" s="311">
        <v>40</v>
      </c>
      <c r="BC249" s="311">
        <v>41</v>
      </c>
      <c r="BD249" s="311">
        <v>42</v>
      </c>
      <c r="BE249" s="311">
        <v>43</v>
      </c>
      <c r="BF249" s="311">
        <v>44</v>
      </c>
      <c r="BG249" s="311">
        <v>45</v>
      </c>
      <c r="BH249" s="311">
        <v>46</v>
      </c>
      <c r="BI249" s="311">
        <v>47</v>
      </c>
      <c r="BJ249" s="311">
        <v>48</v>
      </c>
      <c r="BK249" s="311">
        <v>49</v>
      </c>
      <c r="BL249" s="311">
        <v>50</v>
      </c>
      <c r="BM249" s="311">
        <v>51</v>
      </c>
      <c r="BN249" s="311">
        <v>52</v>
      </c>
      <c r="BO249" s="311">
        <v>53</v>
      </c>
      <c r="BP249" s="311">
        <v>54</v>
      </c>
      <c r="BQ249" s="311">
        <v>55</v>
      </c>
      <c r="BR249" s="311">
        <v>56</v>
      </c>
      <c r="BS249" s="311">
        <v>57</v>
      </c>
      <c r="BT249" s="311">
        <v>58</v>
      </c>
      <c r="BU249" s="311">
        <v>59</v>
      </c>
      <c r="BV249" s="477"/>
    </row>
    <row r="250" spans="1:74" ht="15" customHeight="1" thickBot="1">
      <c r="A250" s="316"/>
      <c r="B250" s="189"/>
      <c r="C250" s="189"/>
      <c r="D250" s="189"/>
      <c r="E250" s="332" t="s">
        <v>891</v>
      </c>
      <c r="F250" s="521">
        <v>40</v>
      </c>
      <c r="G250" s="190"/>
      <c r="L250" s="564"/>
      <c r="M250" s="502"/>
      <c r="N250" s="502"/>
      <c r="O250" s="568" t="s">
        <v>876</v>
      </c>
      <c r="P250" s="569" t="s">
        <v>877</v>
      </c>
      <c r="Q250" s="569" t="s">
        <v>878</v>
      </c>
      <c r="R250" s="569" t="s">
        <v>879</v>
      </c>
      <c r="S250" s="569" t="s">
        <v>880</v>
      </c>
      <c r="T250" s="569" t="s">
        <v>881</v>
      </c>
      <c r="U250" s="312" t="s">
        <v>882</v>
      </c>
      <c r="V250" s="312" t="s">
        <v>1026</v>
      </c>
      <c r="W250" s="312" t="s">
        <v>1028</v>
      </c>
      <c r="X250" s="312" t="s">
        <v>1029</v>
      </c>
      <c r="Y250" s="312" t="s">
        <v>1030</v>
      </c>
      <c r="Z250" s="312" t="s">
        <v>1031</v>
      </c>
      <c r="AA250" s="312" t="s">
        <v>1033</v>
      </c>
      <c r="AB250" s="312" t="s">
        <v>1035</v>
      </c>
      <c r="AC250" s="312" t="s">
        <v>1036</v>
      </c>
      <c r="AD250" s="312" t="s">
        <v>1037</v>
      </c>
      <c r="AE250" s="312" t="s">
        <v>1038</v>
      </c>
      <c r="AF250" s="312" t="s">
        <v>1039</v>
      </c>
      <c r="AG250" s="312" t="s">
        <v>1043</v>
      </c>
      <c r="AH250" s="312" t="s">
        <v>1045</v>
      </c>
      <c r="AI250" s="312" t="s">
        <v>1046</v>
      </c>
      <c r="AJ250" s="312" t="s">
        <v>1047</v>
      </c>
      <c r="AK250" s="312" t="s">
        <v>1049</v>
      </c>
      <c r="AL250" s="313" t="s">
        <v>883</v>
      </c>
      <c r="AM250" s="793" t="s">
        <v>962</v>
      </c>
      <c r="AN250" s="795"/>
      <c r="AO250" s="793" t="s">
        <v>963</v>
      </c>
      <c r="AP250" s="795"/>
      <c r="AQ250" s="793" t="s">
        <v>964</v>
      </c>
      <c r="AR250" s="794"/>
      <c r="AS250" s="794"/>
      <c r="AT250" s="794"/>
      <c r="AU250" s="794"/>
      <c r="AV250" s="794"/>
      <c r="AW250" s="794"/>
      <c r="AX250" s="794"/>
      <c r="AY250" s="795"/>
      <c r="AZ250" s="533">
        <v>8</v>
      </c>
      <c r="BA250" s="534">
        <v>9</v>
      </c>
      <c r="BB250" s="534">
        <f>+BA250+1</f>
        <v>10</v>
      </c>
      <c r="BC250" s="534">
        <f aca="true" t="shared" si="0" ref="BC250:BU250">+BB250+1</f>
        <v>11</v>
      </c>
      <c r="BD250" s="534">
        <f t="shared" si="0"/>
        <v>12</v>
      </c>
      <c r="BE250" s="534">
        <f t="shared" si="0"/>
        <v>13</v>
      </c>
      <c r="BF250" s="534">
        <f t="shared" si="0"/>
        <v>14</v>
      </c>
      <c r="BG250" s="534">
        <f t="shared" si="0"/>
        <v>15</v>
      </c>
      <c r="BH250" s="534">
        <f t="shared" si="0"/>
        <v>16</v>
      </c>
      <c r="BI250" s="534">
        <f t="shared" si="0"/>
        <v>17</v>
      </c>
      <c r="BJ250" s="534">
        <f t="shared" si="0"/>
        <v>18</v>
      </c>
      <c r="BK250" s="534">
        <f t="shared" si="0"/>
        <v>19</v>
      </c>
      <c r="BL250" s="534">
        <f t="shared" si="0"/>
        <v>20</v>
      </c>
      <c r="BM250" s="534">
        <f t="shared" si="0"/>
        <v>21</v>
      </c>
      <c r="BN250" s="534">
        <f t="shared" si="0"/>
        <v>22</v>
      </c>
      <c r="BO250" s="534">
        <f t="shared" si="0"/>
        <v>23</v>
      </c>
      <c r="BP250" s="534">
        <f t="shared" si="0"/>
        <v>24</v>
      </c>
      <c r="BQ250" s="534">
        <f t="shared" si="0"/>
        <v>25</v>
      </c>
      <c r="BR250" s="534">
        <f t="shared" si="0"/>
        <v>26</v>
      </c>
      <c r="BS250" s="534">
        <f t="shared" si="0"/>
        <v>27</v>
      </c>
      <c r="BT250" s="534">
        <f t="shared" si="0"/>
        <v>28</v>
      </c>
      <c r="BU250" s="535">
        <f t="shared" si="0"/>
        <v>29</v>
      </c>
      <c r="BV250" s="477"/>
    </row>
    <row r="251" spans="1:74" ht="15" customHeight="1" thickBot="1">
      <c r="A251" s="316"/>
      <c r="B251" s="189"/>
      <c r="C251" s="189"/>
      <c r="D251" s="189"/>
      <c r="E251" s="332" t="s">
        <v>890</v>
      </c>
      <c r="F251" s="521">
        <v>19</v>
      </c>
      <c r="G251" s="190"/>
      <c r="L251" s="564"/>
      <c r="M251" s="502"/>
      <c r="N251" s="502"/>
      <c r="O251" s="793" t="s">
        <v>966</v>
      </c>
      <c r="P251" s="794"/>
      <c r="Q251" s="794"/>
      <c r="R251" s="794"/>
      <c r="S251" s="794"/>
      <c r="T251" s="794"/>
      <c r="U251" s="794"/>
      <c r="V251" s="794"/>
      <c r="W251" s="794"/>
      <c r="X251" s="794"/>
      <c r="Y251" s="794"/>
      <c r="Z251" s="794"/>
      <c r="AA251" s="794"/>
      <c r="AB251" s="794"/>
      <c r="AC251" s="794"/>
      <c r="AD251" s="794"/>
      <c r="AE251" s="794"/>
      <c r="AF251" s="794"/>
      <c r="AG251" s="794"/>
      <c r="AH251" s="794"/>
      <c r="AI251" s="794"/>
      <c r="AJ251" s="794"/>
      <c r="AK251" s="794"/>
      <c r="AL251" s="795"/>
      <c r="AM251" s="311"/>
      <c r="AN251" s="311"/>
      <c r="AO251" s="311"/>
      <c r="AP251" s="311"/>
      <c r="AQ251" s="311"/>
      <c r="AR251" s="311"/>
      <c r="AS251" s="311"/>
      <c r="AT251" s="311"/>
      <c r="AU251" s="311"/>
      <c r="AV251" s="311"/>
      <c r="AW251" s="311"/>
      <c r="AX251" s="311"/>
      <c r="AY251" s="311"/>
      <c r="AZ251" s="793" t="s">
        <v>965</v>
      </c>
      <c r="BA251" s="794"/>
      <c r="BB251" s="794"/>
      <c r="BC251" s="794"/>
      <c r="BD251" s="794"/>
      <c r="BE251" s="794"/>
      <c r="BF251" s="794"/>
      <c r="BG251" s="794"/>
      <c r="BH251" s="794"/>
      <c r="BI251" s="794"/>
      <c r="BJ251" s="794"/>
      <c r="BK251" s="794"/>
      <c r="BL251" s="794"/>
      <c r="BM251" s="794"/>
      <c r="BN251" s="794"/>
      <c r="BO251" s="794"/>
      <c r="BP251" s="794"/>
      <c r="BQ251" s="794"/>
      <c r="BR251" s="794"/>
      <c r="BS251" s="794"/>
      <c r="BT251" s="794"/>
      <c r="BU251" s="795"/>
      <c r="BV251" s="477"/>
    </row>
    <row r="252" spans="1:74" ht="15" customHeight="1" thickBot="1">
      <c r="A252" s="316"/>
      <c r="B252" s="189"/>
      <c r="C252" s="189"/>
      <c r="D252" s="189"/>
      <c r="E252" s="332" t="s">
        <v>892</v>
      </c>
      <c r="F252" s="521">
        <v>0</v>
      </c>
      <c r="G252" s="190"/>
      <c r="L252" s="564"/>
      <c r="M252" s="502"/>
      <c r="N252" s="502"/>
      <c r="O252" s="502"/>
      <c r="P252" s="502"/>
      <c r="Q252" s="502"/>
      <c r="R252" s="502"/>
      <c r="S252" s="502"/>
      <c r="T252" s="502"/>
      <c r="U252" s="311"/>
      <c r="V252" s="311"/>
      <c r="W252" s="311"/>
      <c r="X252" s="311"/>
      <c r="Y252" s="311"/>
      <c r="Z252" s="311"/>
      <c r="AA252" s="311"/>
      <c r="AB252" s="311"/>
      <c r="AC252" s="311"/>
      <c r="AD252" s="311"/>
      <c r="AE252" s="311"/>
      <c r="AF252" s="311"/>
      <c r="AG252" s="311"/>
      <c r="AH252" s="311"/>
      <c r="AI252" s="311"/>
      <c r="AJ252" s="311"/>
      <c r="AK252" s="311"/>
      <c r="AL252" s="311"/>
      <c r="AM252" s="311"/>
      <c r="AN252" s="311"/>
      <c r="AO252" s="311"/>
      <c r="AP252" s="311"/>
      <c r="AQ252" s="311"/>
      <c r="AR252" s="311"/>
      <c r="AS252" s="311"/>
      <c r="AT252" s="311"/>
      <c r="AU252" s="311"/>
      <c r="AV252" s="311"/>
      <c r="AW252" s="311"/>
      <c r="AX252" s="311"/>
      <c r="AY252" s="311"/>
      <c r="AZ252" s="311"/>
      <c r="BA252" s="311"/>
      <c r="BB252" s="311"/>
      <c r="BC252" s="311"/>
      <c r="BD252" s="311"/>
      <c r="BE252" s="311"/>
      <c r="BF252" s="311"/>
      <c r="BG252" s="311"/>
      <c r="BH252" s="311"/>
      <c r="BI252" s="311"/>
      <c r="BJ252" s="311"/>
      <c r="BK252" s="311"/>
      <c r="BL252" s="311"/>
      <c r="BM252" s="311"/>
      <c r="BN252" s="311"/>
      <c r="BO252" s="311"/>
      <c r="BP252" s="311"/>
      <c r="BQ252" s="311"/>
      <c r="BR252" s="311"/>
      <c r="BS252" s="311"/>
      <c r="BT252" s="311"/>
      <c r="BU252" s="311"/>
      <c r="BV252" s="477"/>
    </row>
    <row r="253" spans="1:74" ht="18" customHeight="1" thickBot="1">
      <c r="A253" s="316"/>
      <c r="B253" s="189"/>
      <c r="C253" s="189"/>
      <c r="D253" s="189"/>
      <c r="E253" s="332" t="s">
        <v>883</v>
      </c>
      <c r="F253" s="595">
        <f>SUM(F245:F252)</f>
        <v>1528</v>
      </c>
      <c r="G253" s="190"/>
      <c r="L253" s="570"/>
      <c r="M253" s="571"/>
      <c r="N253" s="571"/>
      <c r="O253" s="571"/>
      <c r="P253" s="571"/>
      <c r="Q253" s="571"/>
      <c r="R253" s="571"/>
      <c r="S253" s="571"/>
      <c r="T253" s="571"/>
      <c r="U253" s="314"/>
      <c r="V253" s="314"/>
      <c r="W253" s="314"/>
      <c r="X253" s="314"/>
      <c r="Y253" s="314"/>
      <c r="Z253" s="314"/>
      <c r="AA253" s="314"/>
      <c r="AB253" s="314"/>
      <c r="AC253" s="314"/>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4"/>
      <c r="AY253" s="314"/>
      <c r="AZ253" s="314"/>
      <c r="BA253" s="314"/>
      <c r="BB253" s="314"/>
      <c r="BC253" s="314"/>
      <c r="BD253" s="314"/>
      <c r="BE253" s="314"/>
      <c r="BF253" s="314"/>
      <c r="BG253" s="314"/>
      <c r="BH253" s="314"/>
      <c r="BI253" s="314"/>
      <c r="BJ253" s="314"/>
      <c r="BK253" s="314"/>
      <c r="BL253" s="314"/>
      <c r="BM253" s="314"/>
      <c r="BN253" s="314"/>
      <c r="BO253" s="314"/>
      <c r="BP253" s="314"/>
      <c r="BQ253" s="314"/>
      <c r="BR253" s="314"/>
      <c r="BS253" s="314"/>
      <c r="BT253" s="314"/>
      <c r="BU253" s="314"/>
      <c r="BV253" s="536"/>
    </row>
    <row r="254" spans="1:7" ht="15" thickBot="1">
      <c r="A254" s="316"/>
      <c r="B254" s="189"/>
      <c r="C254" s="189"/>
      <c r="D254" s="189"/>
      <c r="E254" s="333"/>
      <c r="F254" s="522"/>
      <c r="G254" s="190"/>
    </row>
    <row r="255" spans="1:7" ht="14.25" customHeight="1" thickBot="1">
      <c r="A255" s="316"/>
      <c r="B255" s="738" t="s">
        <v>14</v>
      </c>
      <c r="C255" s="788"/>
      <c r="D255" s="788"/>
      <c r="E255" s="332" t="s">
        <v>885</v>
      </c>
      <c r="F255" s="521">
        <v>30</v>
      </c>
      <c r="G255" s="190"/>
    </row>
    <row r="256" spans="1:7" ht="14.25" customHeight="1" thickBot="1">
      <c r="A256" s="316"/>
      <c r="B256" s="788"/>
      <c r="C256" s="788"/>
      <c r="D256" s="788"/>
      <c r="E256" s="332" t="s">
        <v>886</v>
      </c>
      <c r="F256" s="521">
        <v>234</v>
      </c>
      <c r="G256" s="190"/>
    </row>
    <row r="257" spans="1:7" ht="14.25" customHeight="1" thickBot="1">
      <c r="A257" s="316"/>
      <c r="B257" s="788"/>
      <c r="C257" s="788"/>
      <c r="D257" s="788"/>
      <c r="E257" s="332" t="s">
        <v>887</v>
      </c>
      <c r="F257" s="521">
        <v>570</v>
      </c>
      <c r="G257" s="190"/>
    </row>
    <row r="258" spans="1:7" ht="14.25" customHeight="1" thickBot="1">
      <c r="A258" s="316"/>
      <c r="B258" s="189"/>
      <c r="C258" s="189"/>
      <c r="D258" s="189"/>
      <c r="E258" s="332" t="s">
        <v>888</v>
      </c>
      <c r="F258" s="521">
        <v>319</v>
      </c>
      <c r="G258" s="190"/>
    </row>
    <row r="259" spans="1:7" ht="14.25" customHeight="1" thickBot="1">
      <c r="A259" s="316"/>
      <c r="B259" s="189"/>
      <c r="C259" s="189"/>
      <c r="D259" s="189"/>
      <c r="E259" s="332" t="s">
        <v>889</v>
      </c>
      <c r="F259" s="521">
        <v>231</v>
      </c>
      <c r="G259" s="190"/>
    </row>
    <row r="260" spans="1:7" ht="14.25" customHeight="1" thickBot="1">
      <c r="A260" s="316"/>
      <c r="B260" s="189"/>
      <c r="C260" s="189"/>
      <c r="D260" s="189"/>
      <c r="E260" s="332" t="s">
        <v>891</v>
      </c>
      <c r="F260" s="521">
        <v>41</v>
      </c>
      <c r="G260" s="190"/>
    </row>
    <row r="261" spans="1:7" ht="14.25" customHeight="1" thickBot="1">
      <c r="A261" s="316"/>
      <c r="B261" s="189"/>
      <c r="C261" s="189"/>
      <c r="D261" s="189"/>
      <c r="E261" s="332" t="s">
        <v>890</v>
      </c>
      <c r="F261" s="521">
        <v>19</v>
      </c>
      <c r="G261" s="190"/>
    </row>
    <row r="262" spans="1:7" ht="14.25" customHeight="1" thickBot="1">
      <c r="A262" s="316"/>
      <c r="B262" s="189"/>
      <c r="C262" s="189"/>
      <c r="D262" s="189"/>
      <c r="E262" s="332" t="s">
        <v>892</v>
      </c>
      <c r="F262" s="521">
        <v>2</v>
      </c>
      <c r="G262" s="190"/>
    </row>
    <row r="263" spans="1:7" ht="15.75" customHeight="1" thickBot="1">
      <c r="A263" s="316"/>
      <c r="B263" s="189"/>
      <c r="C263" s="189"/>
      <c r="D263" s="189"/>
      <c r="E263" s="332" t="s">
        <v>1014</v>
      </c>
      <c r="F263" s="595">
        <f>SUM($F$255:$F$262)</f>
        <v>1446</v>
      </c>
      <c r="G263" s="190"/>
    </row>
    <row r="264" spans="1:9" ht="14.25" customHeight="1">
      <c r="A264" s="316"/>
      <c r="B264" s="733">
        <f>IF(F244="Please ensure all boxes below have a value entered","",IF($F$263&lt;&gt;(F64+F66),"The sum of these bands does not agree with the sum of M and N from part 1 above - click 'Accept' in red box OR amend figures",""))</f>
      </c>
      <c r="C264" s="733"/>
      <c r="D264" s="733"/>
      <c r="E264" s="734"/>
      <c r="F264" s="596"/>
      <c r="G264" s="190"/>
      <c r="I264" s="593" t="s">
        <v>937</v>
      </c>
    </row>
    <row r="265" spans="1:7" ht="14.25">
      <c r="A265" s="316"/>
      <c r="B265" s="735" t="s">
        <v>551</v>
      </c>
      <c r="C265" s="735"/>
      <c r="D265" s="735"/>
      <c r="E265" s="735"/>
      <c r="F265" s="735"/>
      <c r="G265" s="190"/>
    </row>
    <row r="266" spans="1:7" ht="14.25">
      <c r="A266" s="316"/>
      <c r="B266" s="737"/>
      <c r="C266" s="737"/>
      <c r="D266" s="737"/>
      <c r="E266" s="737"/>
      <c r="F266" s="737"/>
      <c r="G266" s="190"/>
    </row>
    <row r="267" spans="1:7" ht="14.25">
      <c r="A267" s="316"/>
      <c r="B267" s="736"/>
      <c r="C267" s="736"/>
      <c r="D267" s="736"/>
      <c r="E267" s="736"/>
      <c r="F267" s="736"/>
      <c r="G267" s="190"/>
    </row>
    <row r="268" spans="1:7" ht="14.25">
      <c r="A268" s="316"/>
      <c r="B268" s="735" t="s">
        <v>15</v>
      </c>
      <c r="C268" s="735"/>
      <c r="D268" s="735"/>
      <c r="E268" s="735"/>
      <c r="F268" s="735"/>
      <c r="G268" s="190"/>
    </row>
    <row r="269" spans="1:7" ht="14.25">
      <c r="A269" s="316"/>
      <c r="B269" s="672"/>
      <c r="C269" s="672"/>
      <c r="D269" s="672"/>
      <c r="E269" s="672"/>
      <c r="F269" s="672"/>
      <c r="G269" s="190"/>
    </row>
    <row r="270" spans="1:7" ht="15" thickBot="1">
      <c r="A270" s="316"/>
      <c r="B270" s="189"/>
      <c r="C270" s="189"/>
      <c r="D270" s="189"/>
      <c r="E270" s="189"/>
      <c r="F270" s="189"/>
      <c r="G270" s="190"/>
    </row>
    <row r="271" spans="1:7" ht="14.25">
      <c r="A271" s="316"/>
      <c r="B271" s="284" t="s">
        <v>550</v>
      </c>
      <c r="C271" s="282"/>
      <c r="D271" s="282"/>
      <c r="E271" s="282"/>
      <c r="F271" s="283"/>
      <c r="G271" s="190"/>
    </row>
    <row r="272" spans="1:7" ht="14.25">
      <c r="A272" s="316"/>
      <c r="B272" s="739" t="s">
        <v>343</v>
      </c>
      <c r="C272" s="740"/>
      <c r="D272" s="740"/>
      <c r="E272" s="740"/>
      <c r="F272" s="741"/>
      <c r="G272" s="190"/>
    </row>
    <row r="273" spans="1:7" ht="14.25">
      <c r="A273" s="316"/>
      <c r="B273" s="739"/>
      <c r="C273" s="740"/>
      <c r="D273" s="740"/>
      <c r="E273" s="740"/>
      <c r="F273" s="741"/>
      <c r="G273" s="190"/>
    </row>
    <row r="274" spans="1:7" ht="14.25">
      <c r="A274" s="316"/>
      <c r="B274" s="739"/>
      <c r="C274" s="740"/>
      <c r="D274" s="740"/>
      <c r="E274" s="740"/>
      <c r="F274" s="741"/>
      <c r="G274" s="190"/>
    </row>
    <row r="275" spans="1:7" ht="14.25">
      <c r="A275" s="316"/>
      <c r="B275" s="739"/>
      <c r="C275" s="740"/>
      <c r="D275" s="740"/>
      <c r="E275" s="740"/>
      <c r="F275" s="741"/>
      <c r="G275" s="190"/>
    </row>
    <row r="276" spans="1:7" ht="14.25">
      <c r="A276" s="316"/>
      <c r="B276" s="739"/>
      <c r="C276" s="740"/>
      <c r="D276" s="740"/>
      <c r="E276" s="740"/>
      <c r="F276" s="741"/>
      <c r="G276" s="190"/>
    </row>
    <row r="277" spans="1:7" ht="14.25">
      <c r="A277" s="316"/>
      <c r="B277" s="739"/>
      <c r="C277" s="740"/>
      <c r="D277" s="740"/>
      <c r="E277" s="740"/>
      <c r="F277" s="741"/>
      <c r="G277" s="190"/>
    </row>
    <row r="278" spans="1:7" ht="14.25">
      <c r="A278" s="316"/>
      <c r="B278" s="739"/>
      <c r="C278" s="740"/>
      <c r="D278" s="740"/>
      <c r="E278" s="740"/>
      <c r="F278" s="741"/>
      <c r="G278" s="190"/>
    </row>
    <row r="279" spans="1:7" ht="14.25">
      <c r="A279" s="316"/>
      <c r="B279" s="739"/>
      <c r="C279" s="740"/>
      <c r="D279" s="740"/>
      <c r="E279" s="740"/>
      <c r="F279" s="741"/>
      <c r="G279" s="190"/>
    </row>
    <row r="280" spans="1:7" ht="14.25">
      <c r="A280" s="316"/>
      <c r="B280" s="739"/>
      <c r="C280" s="740"/>
      <c r="D280" s="740"/>
      <c r="E280" s="740"/>
      <c r="F280" s="741"/>
      <c r="G280" s="190"/>
    </row>
    <row r="281" spans="1:7" ht="14.25">
      <c r="A281" s="316"/>
      <c r="B281" s="739"/>
      <c r="C281" s="740"/>
      <c r="D281" s="740"/>
      <c r="E281" s="740"/>
      <c r="F281" s="741"/>
      <c r="G281" s="190"/>
    </row>
    <row r="282" spans="1:7" ht="14.25">
      <c r="A282" s="316"/>
      <c r="B282" s="739"/>
      <c r="C282" s="740"/>
      <c r="D282" s="740"/>
      <c r="E282" s="740"/>
      <c r="F282" s="741"/>
      <c r="G282" s="190"/>
    </row>
    <row r="283" spans="1:7" ht="14.25">
      <c r="A283" s="316"/>
      <c r="B283" s="739"/>
      <c r="C283" s="740"/>
      <c r="D283" s="740"/>
      <c r="E283" s="740"/>
      <c r="F283" s="741"/>
      <c r="G283" s="190"/>
    </row>
    <row r="284" spans="1:7" ht="15" thickBot="1">
      <c r="A284" s="316"/>
      <c r="B284" s="742"/>
      <c r="C284" s="743"/>
      <c r="D284" s="743"/>
      <c r="E284" s="743"/>
      <c r="F284" s="744"/>
      <c r="G284" s="190"/>
    </row>
    <row r="285" spans="1:7" ht="14.25">
      <c r="A285" s="316"/>
      <c r="B285" s="189"/>
      <c r="C285" s="189"/>
      <c r="D285" s="189"/>
      <c r="E285" s="189"/>
      <c r="F285" s="189"/>
      <c r="G285" s="190"/>
    </row>
    <row r="286" spans="1:7" ht="15" thickBot="1">
      <c r="A286" s="318"/>
      <c r="B286" s="193"/>
      <c r="C286" s="193"/>
      <c r="D286" s="193"/>
      <c r="E286" s="193"/>
      <c r="F286" s="193"/>
      <c r="G286" s="194"/>
    </row>
    <row r="287" spans="1:11" ht="18">
      <c r="A287" s="188"/>
      <c r="B287" s="257" t="s">
        <v>855</v>
      </c>
      <c r="C287" s="211"/>
      <c r="D287" s="212"/>
      <c r="E287" s="212"/>
      <c r="F287" s="212"/>
      <c r="G287" s="190"/>
      <c r="I287" s="554"/>
      <c r="J287" s="554"/>
      <c r="K287" s="554"/>
    </row>
    <row r="288" spans="1:11" ht="15">
      <c r="A288" s="188"/>
      <c r="B288" s="258"/>
      <c r="C288" s="199"/>
      <c r="D288" s="203"/>
      <c r="E288" s="203"/>
      <c r="F288" s="203"/>
      <c r="G288" s="190"/>
      <c r="I288" s="554"/>
      <c r="J288" s="554"/>
      <c r="K288" s="554"/>
    </row>
    <row r="289" spans="1:11" ht="39" customHeight="1">
      <c r="A289" s="188"/>
      <c r="B289" s="757" t="s">
        <v>16</v>
      </c>
      <c r="C289" s="758"/>
      <c r="D289" s="758"/>
      <c r="E289" s="758"/>
      <c r="F289" s="758"/>
      <c r="G289" s="190"/>
      <c r="I289" s="554"/>
      <c r="J289" s="554"/>
      <c r="K289" s="554"/>
    </row>
    <row r="290" spans="1:24" ht="12.75">
      <c r="A290" s="188"/>
      <c r="B290" s="758"/>
      <c r="C290" s="758"/>
      <c r="D290" s="758"/>
      <c r="E290" s="758"/>
      <c r="F290" s="758"/>
      <c r="G290" s="190"/>
      <c r="I290" s="554"/>
      <c r="J290" s="554"/>
      <c r="K290" s="554"/>
      <c r="V290" s="213"/>
      <c r="W290" s="213"/>
      <c r="X290" s="213"/>
    </row>
    <row r="291" spans="1:24" ht="15">
      <c r="A291" s="188"/>
      <c r="B291" s="199"/>
      <c r="C291" s="199"/>
      <c r="D291" s="214"/>
      <c r="E291" s="214"/>
      <c r="F291" s="214"/>
      <c r="G291" s="190"/>
      <c r="I291" s="554"/>
      <c r="J291" s="554"/>
      <c r="K291" s="554"/>
      <c r="V291" s="213"/>
      <c r="W291" s="213"/>
      <c r="X291" s="213"/>
    </row>
    <row r="292" spans="1:24" ht="15">
      <c r="A292" s="188"/>
      <c r="B292" s="199"/>
      <c r="C292" s="199"/>
      <c r="D292" s="214"/>
      <c r="E292" s="214"/>
      <c r="F292" s="214"/>
      <c r="G292" s="190"/>
      <c r="I292" s="554"/>
      <c r="J292" s="554"/>
      <c r="K292" s="554"/>
      <c r="V292" s="213"/>
      <c r="W292" s="213"/>
      <c r="X292" s="213"/>
    </row>
    <row r="293" spans="1:24" ht="15">
      <c r="A293" s="188"/>
      <c r="B293" s="199"/>
      <c r="C293" s="199"/>
      <c r="D293" s="214"/>
      <c r="E293" s="214"/>
      <c r="F293" s="214"/>
      <c r="G293" s="190"/>
      <c r="I293" s="554"/>
      <c r="J293" s="554"/>
      <c r="K293" s="554"/>
      <c r="V293" s="213"/>
      <c r="W293" s="213"/>
      <c r="X293" s="213"/>
    </row>
    <row r="294" spans="1:24" ht="18">
      <c r="A294" s="188"/>
      <c r="B294" s="317" t="s">
        <v>1077</v>
      </c>
      <c r="C294" s="199"/>
      <c r="D294" s="203"/>
      <c r="E294" s="203"/>
      <c r="F294" s="203"/>
      <c r="G294" s="190"/>
      <c r="V294" s="215"/>
      <c r="W294" s="213"/>
      <c r="X294" s="213"/>
    </row>
    <row r="295" spans="1:24" ht="18.75" thickBot="1">
      <c r="A295" s="259"/>
      <c r="B295" s="545"/>
      <c r="C295" s="201"/>
      <c r="D295" s="216"/>
      <c r="E295" s="216"/>
      <c r="F295" s="243"/>
      <c r="G295" s="217" t="str">
        <f>+Title!D16</f>
        <v>Ver 1.0</v>
      </c>
      <c r="V295" s="213"/>
      <c r="W295" s="213"/>
      <c r="X295" s="213"/>
    </row>
    <row r="296" ht="12.75">
      <c r="C296" s="219"/>
    </row>
    <row r="297" ht="12.75">
      <c r="C297" s="219"/>
    </row>
    <row r="298" ht="12.75">
      <c r="C298" s="219"/>
    </row>
    <row r="299" ht="12.75">
      <c r="C299" s="219"/>
    </row>
    <row r="300" ht="12.75">
      <c r="C300" s="219"/>
    </row>
    <row r="301" ht="12.75">
      <c r="C301" s="219"/>
    </row>
    <row r="302" ht="12.75">
      <c r="C302" s="219"/>
    </row>
    <row r="303" ht="12.75">
      <c r="C303" s="219"/>
    </row>
    <row r="304" ht="12.75">
      <c r="C304" s="219"/>
    </row>
    <row r="305" ht="12.75">
      <c r="C305" s="219"/>
    </row>
    <row r="306" ht="12.75">
      <c r="C306" s="219"/>
    </row>
    <row r="307" ht="12.75">
      <c r="C307" s="219"/>
    </row>
    <row r="308" ht="12.75">
      <c r="C308" s="219"/>
    </row>
    <row r="309" ht="12.75">
      <c r="C309" s="219"/>
    </row>
    <row r="310" ht="12.75">
      <c r="C310" s="219"/>
    </row>
    <row r="311" ht="12.75">
      <c r="C311" s="219"/>
    </row>
    <row r="312" ht="12.75">
      <c r="C312" s="219"/>
    </row>
    <row r="313" ht="12.75">
      <c r="C313" s="219"/>
    </row>
    <row r="314" ht="12.75">
      <c r="C314" s="219"/>
    </row>
    <row r="315" ht="12.75">
      <c r="C315" s="219"/>
    </row>
    <row r="316" ht="12.75">
      <c r="C316" s="219"/>
    </row>
    <row r="317" ht="12.75">
      <c r="C317" s="219"/>
    </row>
    <row r="318" ht="12.75">
      <c r="C318" s="219"/>
    </row>
    <row r="319" ht="12.75">
      <c r="C319" s="219"/>
    </row>
    <row r="320" ht="12.75">
      <c r="C320" s="219"/>
    </row>
    <row r="321" ht="12.75">
      <c r="C321" s="219"/>
    </row>
    <row r="322" ht="12.75">
      <c r="C322" s="219"/>
    </row>
    <row r="323" ht="12.75">
      <c r="C323" s="219"/>
    </row>
    <row r="324" ht="12.75">
      <c r="C324" s="219"/>
    </row>
    <row r="325" ht="12.75">
      <c r="C325" s="219"/>
    </row>
    <row r="326" ht="12.75">
      <c r="C326" s="219"/>
    </row>
    <row r="327" ht="12.75">
      <c r="C327" s="219"/>
    </row>
    <row r="328" ht="12.75">
      <c r="C328" s="219"/>
    </row>
    <row r="329" ht="12.75">
      <c r="C329" s="219"/>
    </row>
    <row r="330" ht="12.75">
      <c r="C330" s="219"/>
    </row>
    <row r="331" ht="12.75">
      <c r="C331" s="219"/>
    </row>
    <row r="332" ht="12.75">
      <c r="C332" s="219"/>
    </row>
    <row r="333" ht="12.75">
      <c r="C333" s="219"/>
    </row>
    <row r="334" ht="12.75">
      <c r="C334" s="219"/>
    </row>
    <row r="335" ht="12.75">
      <c r="C335" s="219"/>
    </row>
    <row r="336" ht="12.75">
      <c r="C336" s="219"/>
    </row>
    <row r="337" ht="12.75">
      <c r="C337" s="219"/>
    </row>
    <row r="338" ht="12.75">
      <c r="C338" s="219"/>
    </row>
    <row r="339" ht="12.75">
      <c r="C339" s="219"/>
    </row>
    <row r="340" spans="2:3" ht="12.75">
      <c r="B340" s="184"/>
      <c r="C340" s="219"/>
    </row>
    <row r="341" spans="2:3" ht="12.75">
      <c r="B341" s="184"/>
      <c r="C341" s="219"/>
    </row>
    <row r="342" spans="2:3" ht="12.75">
      <c r="B342" s="184"/>
      <c r="C342" s="219"/>
    </row>
    <row r="343" spans="2:3" ht="12.75">
      <c r="B343" s="184"/>
      <c r="C343" s="219"/>
    </row>
    <row r="344" spans="2:3" ht="12.75">
      <c r="B344" s="184"/>
      <c r="C344" s="219"/>
    </row>
    <row r="345" spans="2:3" ht="12.75">
      <c r="B345" s="184"/>
      <c r="C345" s="219"/>
    </row>
    <row r="346" spans="2:3" ht="12.75">
      <c r="B346" s="184"/>
      <c r="C346" s="219"/>
    </row>
    <row r="347" spans="2:3" ht="12.75">
      <c r="B347" s="184"/>
      <c r="C347" s="219"/>
    </row>
    <row r="348" spans="2:3" ht="12.75">
      <c r="B348" s="184"/>
      <c r="C348" s="219"/>
    </row>
    <row r="349" spans="2:3" ht="12.75">
      <c r="B349" s="184"/>
      <c r="C349" s="219"/>
    </row>
    <row r="350" spans="2:3" ht="12.75">
      <c r="B350" s="184"/>
      <c r="C350" s="219"/>
    </row>
    <row r="351" spans="2:3" ht="12.75">
      <c r="B351" s="184"/>
      <c r="C351" s="219"/>
    </row>
    <row r="352" spans="2:3" ht="12.75">
      <c r="B352" s="184"/>
      <c r="C352" s="219"/>
    </row>
    <row r="353" spans="2:3" ht="12.75">
      <c r="B353" s="184"/>
      <c r="C353" s="219"/>
    </row>
    <row r="354" spans="2:3" ht="12.75">
      <c r="B354" s="184"/>
      <c r="C354" s="219"/>
    </row>
    <row r="355" spans="2:3" ht="12.75">
      <c r="B355" s="184"/>
      <c r="C355" s="219"/>
    </row>
    <row r="356" spans="2:3" ht="12.75">
      <c r="B356" s="184"/>
      <c r="C356" s="219"/>
    </row>
    <row r="357" spans="2:3" ht="12.75">
      <c r="B357" s="184"/>
      <c r="C357" s="219"/>
    </row>
    <row r="358" spans="2:3" ht="12.75">
      <c r="B358" s="184"/>
      <c r="C358" s="219"/>
    </row>
    <row r="359" spans="2:3" ht="12.75">
      <c r="B359" s="184"/>
      <c r="C359" s="219"/>
    </row>
    <row r="360" spans="2:3" ht="12.75">
      <c r="B360" s="184"/>
      <c r="C360" s="219"/>
    </row>
    <row r="361" spans="2:3" ht="12.75">
      <c r="B361" s="184"/>
      <c r="C361" s="219"/>
    </row>
    <row r="362" spans="2:3" ht="12.75">
      <c r="B362" s="184"/>
      <c r="C362" s="219"/>
    </row>
    <row r="363" spans="2:3" ht="12.75">
      <c r="B363" s="184"/>
      <c r="C363" s="219"/>
    </row>
    <row r="364" spans="2:3" ht="12.75">
      <c r="B364" s="184"/>
      <c r="C364" s="219"/>
    </row>
    <row r="365" spans="2:3" ht="12.75">
      <c r="B365" s="184"/>
      <c r="C365" s="219"/>
    </row>
    <row r="366" spans="2:3" ht="12.75">
      <c r="B366" s="184"/>
      <c r="C366" s="219"/>
    </row>
    <row r="367" spans="2:3" ht="12.75">
      <c r="B367" s="184"/>
      <c r="C367" s="219"/>
    </row>
    <row r="368" spans="2:3" ht="12.75">
      <c r="B368" s="184"/>
      <c r="C368" s="219"/>
    </row>
    <row r="369" spans="2:3" ht="12.75">
      <c r="B369" s="184"/>
      <c r="C369" s="219"/>
    </row>
    <row r="370" spans="2:3" ht="12.75">
      <c r="B370" s="184"/>
      <c r="C370" s="219"/>
    </row>
    <row r="371" spans="2:3" ht="12.75">
      <c r="B371" s="184"/>
      <c r="C371" s="219"/>
    </row>
    <row r="372" spans="2:3" ht="12.75">
      <c r="B372" s="184"/>
      <c r="C372" s="219"/>
    </row>
    <row r="373" spans="2:3" ht="12.75">
      <c r="B373" s="184"/>
      <c r="C373" s="219"/>
    </row>
    <row r="374" spans="2:3" ht="12.75">
      <c r="B374" s="184"/>
      <c r="C374" s="219"/>
    </row>
    <row r="375" spans="2:3" ht="12.75">
      <c r="B375" s="184"/>
      <c r="C375" s="219"/>
    </row>
    <row r="376" spans="2:3" ht="12.75">
      <c r="B376" s="184"/>
      <c r="C376" s="219"/>
    </row>
    <row r="377" spans="2:3" ht="12.75">
      <c r="B377" s="184"/>
      <c r="C377" s="219"/>
    </row>
    <row r="378" spans="2:3" ht="12.75">
      <c r="B378" s="184"/>
      <c r="C378" s="219"/>
    </row>
    <row r="379" spans="2:3" ht="12.75">
      <c r="B379" s="184"/>
      <c r="C379" s="219"/>
    </row>
    <row r="380" spans="2:3" ht="12.75">
      <c r="B380" s="184"/>
      <c r="C380" s="219"/>
    </row>
    <row r="381" spans="2:3" ht="12.75">
      <c r="B381" s="184"/>
      <c r="C381" s="219"/>
    </row>
    <row r="382" spans="2:3" ht="12.75">
      <c r="B382" s="184"/>
      <c r="C382" s="219"/>
    </row>
    <row r="383" spans="2:3" ht="12.75">
      <c r="B383" s="184"/>
      <c r="C383" s="219"/>
    </row>
    <row r="384" spans="2:3" ht="12.75">
      <c r="B384" s="184"/>
      <c r="C384" s="219"/>
    </row>
    <row r="385" spans="2:3" ht="12.75">
      <c r="B385" s="184"/>
      <c r="C385" s="219"/>
    </row>
    <row r="386" spans="2:3" ht="12.75">
      <c r="B386" s="184"/>
      <c r="C386" s="219"/>
    </row>
    <row r="387" spans="2:3" ht="12.75">
      <c r="B387" s="184"/>
      <c r="C387" s="219"/>
    </row>
    <row r="388" spans="2:3" ht="12.75">
      <c r="B388" s="184"/>
      <c r="C388" s="219"/>
    </row>
    <row r="389" spans="2:3" ht="12.75">
      <c r="B389" s="184"/>
      <c r="C389" s="219"/>
    </row>
    <row r="390" spans="2:3" ht="12.75">
      <c r="B390" s="184"/>
      <c r="C390" s="219"/>
    </row>
    <row r="391" spans="2:3" ht="12.75">
      <c r="B391" s="184"/>
      <c r="C391" s="219"/>
    </row>
    <row r="392" spans="2:3" ht="12.75">
      <c r="B392" s="184"/>
      <c r="C392" s="219"/>
    </row>
    <row r="393" spans="2:3" ht="12.75">
      <c r="B393" s="184"/>
      <c r="C393" s="219"/>
    </row>
    <row r="394" spans="2:3" ht="12.75">
      <c r="B394" s="184"/>
      <c r="C394" s="219"/>
    </row>
    <row r="395" spans="2:3" ht="12.75">
      <c r="B395" s="184"/>
      <c r="C395" s="219"/>
    </row>
    <row r="396" spans="2:3" ht="12.75">
      <c r="B396" s="184"/>
      <c r="C396" s="219"/>
    </row>
    <row r="397" spans="2:3" ht="12.75">
      <c r="B397" s="184"/>
      <c r="C397" s="219"/>
    </row>
    <row r="398" spans="2:3" ht="12.75">
      <c r="B398" s="184"/>
      <c r="C398" s="219"/>
    </row>
    <row r="399" spans="2:3" ht="12.75">
      <c r="B399" s="184"/>
      <c r="C399" s="219"/>
    </row>
    <row r="400" spans="2:3" ht="12.75">
      <c r="B400" s="184"/>
      <c r="C400" s="219"/>
    </row>
    <row r="401" spans="2:3" ht="12.75">
      <c r="B401" s="184"/>
      <c r="C401" s="219"/>
    </row>
    <row r="402" spans="2:3" ht="12.75">
      <c r="B402" s="184"/>
      <c r="C402" s="219"/>
    </row>
    <row r="403" spans="2:3" ht="12.75">
      <c r="B403" s="184"/>
      <c r="C403" s="219"/>
    </row>
    <row r="404" spans="2:3" ht="12.75">
      <c r="B404" s="184"/>
      <c r="C404" s="219"/>
    </row>
    <row r="405" spans="2:3" ht="12.75">
      <c r="B405" s="184"/>
      <c r="C405" s="219"/>
    </row>
    <row r="406" spans="2:3" ht="12.75">
      <c r="B406" s="184"/>
      <c r="C406" s="219"/>
    </row>
    <row r="407" spans="2:3" ht="12.75">
      <c r="B407" s="184"/>
      <c r="C407" s="219"/>
    </row>
    <row r="408" spans="2:3" ht="12.75">
      <c r="B408" s="184"/>
      <c r="C408" s="219"/>
    </row>
    <row r="409" spans="2:3" ht="12.75">
      <c r="B409" s="184"/>
      <c r="C409" s="219"/>
    </row>
    <row r="410" spans="2:3" ht="12.75">
      <c r="B410" s="184"/>
      <c r="C410" s="219"/>
    </row>
    <row r="411" spans="2:3" ht="12.75">
      <c r="B411" s="184"/>
      <c r="C411" s="219"/>
    </row>
    <row r="412" spans="2:3" ht="12.75">
      <c r="B412" s="184"/>
      <c r="C412" s="219"/>
    </row>
    <row r="413" spans="2:3" ht="12.75">
      <c r="B413" s="184"/>
      <c r="C413" s="219"/>
    </row>
    <row r="414" spans="2:3" ht="12.75">
      <c r="B414" s="184"/>
      <c r="C414" s="219"/>
    </row>
    <row r="415" spans="2:3" ht="12.75">
      <c r="B415" s="184"/>
      <c r="C415" s="219"/>
    </row>
    <row r="416" spans="2:3" ht="12.75">
      <c r="B416" s="184"/>
      <c r="C416" s="219"/>
    </row>
    <row r="417" spans="2:3" ht="12.75">
      <c r="B417" s="184"/>
      <c r="C417" s="219"/>
    </row>
    <row r="418" spans="2:3" ht="12.75">
      <c r="B418" s="184"/>
      <c r="C418" s="219"/>
    </row>
    <row r="419" spans="2:3" ht="12.75">
      <c r="B419" s="184"/>
      <c r="C419" s="219"/>
    </row>
    <row r="420" spans="2:3" ht="12.75">
      <c r="B420" s="184"/>
      <c r="C420" s="219"/>
    </row>
    <row r="421" spans="2:3" ht="12.75">
      <c r="B421" s="184"/>
      <c r="C421" s="219"/>
    </row>
    <row r="422" spans="2:3" ht="12.75">
      <c r="B422" s="184"/>
      <c r="C422" s="219"/>
    </row>
    <row r="423" spans="2:3" ht="12.75">
      <c r="B423" s="184"/>
      <c r="C423" s="219"/>
    </row>
    <row r="424" spans="2:3" ht="12.75">
      <c r="B424" s="184"/>
      <c r="C424" s="219"/>
    </row>
    <row r="425" spans="2:3" ht="12.75">
      <c r="B425" s="184"/>
      <c r="C425" s="219"/>
    </row>
    <row r="426" spans="2:3" ht="12.75">
      <c r="B426" s="184"/>
      <c r="C426" s="219"/>
    </row>
    <row r="427" spans="2:3" ht="12.75">
      <c r="B427" s="184"/>
      <c r="C427" s="219"/>
    </row>
    <row r="428" spans="2:3" ht="12.75">
      <c r="B428" s="184"/>
      <c r="C428" s="219"/>
    </row>
    <row r="429" spans="2:3" ht="12.75">
      <c r="B429" s="184"/>
      <c r="C429" s="219"/>
    </row>
    <row r="430" spans="2:3" ht="12.75">
      <c r="B430" s="184"/>
      <c r="C430" s="219"/>
    </row>
    <row r="431" spans="2:3" ht="12.75">
      <c r="B431" s="184"/>
      <c r="C431" s="219"/>
    </row>
    <row r="432" spans="2:3" ht="12.75">
      <c r="B432" s="184"/>
      <c r="C432" s="219"/>
    </row>
    <row r="433" spans="2:3" ht="12.75">
      <c r="B433" s="184"/>
      <c r="C433" s="219"/>
    </row>
    <row r="434" spans="2:3" ht="12.75">
      <c r="B434" s="184"/>
      <c r="C434" s="219"/>
    </row>
    <row r="435" spans="2:3" ht="12.75">
      <c r="B435" s="184"/>
      <c r="C435" s="219"/>
    </row>
    <row r="436" spans="2:3" ht="12.75">
      <c r="B436" s="184"/>
      <c r="C436" s="219"/>
    </row>
    <row r="437" spans="2:3" ht="12.75">
      <c r="B437" s="184"/>
      <c r="C437" s="219"/>
    </row>
    <row r="438" spans="2:3" ht="12.75">
      <c r="B438" s="184"/>
      <c r="C438" s="219"/>
    </row>
    <row r="439" spans="2:3" ht="12.75">
      <c r="B439" s="184"/>
      <c r="C439" s="219"/>
    </row>
    <row r="440" spans="2:3" ht="12.75">
      <c r="B440" s="184"/>
      <c r="C440" s="219"/>
    </row>
    <row r="441" spans="2:3" ht="12.75">
      <c r="B441" s="184"/>
      <c r="C441" s="219"/>
    </row>
    <row r="442" spans="2:3" ht="12.75">
      <c r="B442" s="184"/>
      <c r="C442" s="219"/>
    </row>
    <row r="443" spans="2:3" ht="12.75">
      <c r="B443" s="184"/>
      <c r="C443" s="219"/>
    </row>
    <row r="444" spans="2:3" ht="12.75">
      <c r="B444" s="184"/>
      <c r="C444" s="219"/>
    </row>
    <row r="445" spans="2:3" ht="12.75">
      <c r="B445" s="184"/>
      <c r="C445" s="219"/>
    </row>
    <row r="446" spans="2:3" ht="12.75">
      <c r="B446" s="184"/>
      <c r="C446" s="219"/>
    </row>
    <row r="447" spans="2:3" ht="12.75">
      <c r="B447" s="184"/>
      <c r="C447" s="219"/>
    </row>
    <row r="448" spans="2:3" ht="12.75">
      <c r="B448" s="184"/>
      <c r="C448" s="219"/>
    </row>
    <row r="449" spans="2:3" ht="12.75">
      <c r="B449" s="184"/>
      <c r="C449" s="219"/>
    </row>
    <row r="450" spans="2:3" ht="12.75">
      <c r="B450" s="184"/>
      <c r="C450" s="219"/>
    </row>
    <row r="451" spans="2:3" ht="12.75">
      <c r="B451" s="184"/>
      <c r="C451" s="219"/>
    </row>
    <row r="452" spans="2:3" ht="12.75">
      <c r="B452" s="184"/>
      <c r="C452" s="219"/>
    </row>
    <row r="453" spans="2:3" ht="12.75">
      <c r="B453" s="184"/>
      <c r="C453" s="219"/>
    </row>
    <row r="454" spans="2:3" ht="12.75">
      <c r="B454" s="184"/>
      <c r="C454" s="219"/>
    </row>
    <row r="455" spans="2:3" ht="12.75">
      <c r="B455" s="184"/>
      <c r="C455" s="219"/>
    </row>
    <row r="456" spans="2:3" ht="12.75">
      <c r="B456" s="184"/>
      <c r="C456" s="219"/>
    </row>
    <row r="457" spans="2:3" ht="12.75">
      <c r="B457" s="184"/>
      <c r="C457" s="219"/>
    </row>
    <row r="458" spans="2:3" ht="12.75">
      <c r="B458" s="184"/>
      <c r="C458" s="219"/>
    </row>
    <row r="459" spans="2:3" ht="12.75">
      <c r="B459" s="184"/>
      <c r="C459" s="219"/>
    </row>
    <row r="460" spans="2:3" ht="12.75">
      <c r="B460" s="184"/>
      <c r="C460" s="219"/>
    </row>
    <row r="461" spans="2:3" ht="12.75">
      <c r="B461" s="184"/>
      <c r="C461" s="219"/>
    </row>
    <row r="462" spans="2:3" ht="12.75">
      <c r="B462" s="184"/>
      <c r="C462" s="219"/>
    </row>
    <row r="463" spans="2:3" ht="12.75">
      <c r="B463" s="184"/>
      <c r="C463" s="219"/>
    </row>
    <row r="464" spans="2:3" ht="12.75">
      <c r="B464" s="184"/>
      <c r="C464" s="219"/>
    </row>
    <row r="465" spans="2:3" ht="12.75">
      <c r="B465" s="184"/>
      <c r="C465" s="219"/>
    </row>
    <row r="466" spans="2:3" ht="12.75">
      <c r="B466" s="184"/>
      <c r="C466" s="219"/>
    </row>
    <row r="467" spans="2:3" ht="12.75">
      <c r="B467" s="184"/>
      <c r="C467" s="219"/>
    </row>
    <row r="468" spans="2:3" ht="12.75">
      <c r="B468" s="184"/>
      <c r="C468" s="219"/>
    </row>
    <row r="469" spans="2:3" ht="12.75">
      <c r="B469" s="184"/>
      <c r="C469" s="219"/>
    </row>
    <row r="470" spans="2:3" ht="12.75">
      <c r="B470" s="184"/>
      <c r="C470" s="219"/>
    </row>
    <row r="471" spans="2:3" ht="12.75">
      <c r="B471" s="184"/>
      <c r="C471" s="219"/>
    </row>
    <row r="472" spans="2:3" ht="12.75">
      <c r="B472" s="184"/>
      <c r="C472" s="219"/>
    </row>
    <row r="473" spans="2:3" ht="12.75">
      <c r="B473" s="184"/>
      <c r="C473" s="219"/>
    </row>
    <row r="474" spans="2:3" ht="12.75">
      <c r="B474" s="184"/>
      <c r="C474" s="219"/>
    </row>
    <row r="475" spans="2:3" ht="12.75">
      <c r="B475" s="184"/>
      <c r="C475" s="219"/>
    </row>
    <row r="476" spans="2:3" ht="12.75">
      <c r="B476" s="184"/>
      <c r="C476" s="219"/>
    </row>
    <row r="477" spans="2:3" ht="12.75">
      <c r="B477" s="184"/>
      <c r="C477" s="219"/>
    </row>
    <row r="478" spans="2:3" ht="12.75">
      <c r="B478" s="184"/>
      <c r="C478" s="219"/>
    </row>
    <row r="479" spans="2:3" ht="12.75">
      <c r="B479" s="184"/>
      <c r="C479" s="219"/>
    </row>
    <row r="480" spans="2:3" ht="12.75">
      <c r="B480" s="184"/>
      <c r="C480" s="219"/>
    </row>
    <row r="481" spans="2:3" ht="12.75">
      <c r="B481" s="184"/>
      <c r="C481" s="219"/>
    </row>
    <row r="482" spans="2:3" ht="12.75">
      <c r="B482" s="184"/>
      <c r="C482" s="219"/>
    </row>
    <row r="483" spans="2:3" ht="12.75">
      <c r="B483" s="184"/>
      <c r="C483" s="219"/>
    </row>
    <row r="484" spans="2:3" ht="12.75">
      <c r="B484" s="184"/>
      <c r="C484" s="219"/>
    </row>
    <row r="485" spans="2:3" ht="12.75">
      <c r="B485" s="184"/>
      <c r="C485" s="219"/>
    </row>
    <row r="486" spans="2:3" ht="12.75">
      <c r="B486" s="184"/>
      <c r="C486" s="219"/>
    </row>
    <row r="487" spans="2:3" ht="12.75">
      <c r="B487" s="184"/>
      <c r="C487" s="219"/>
    </row>
    <row r="488" spans="2:3" ht="12.75">
      <c r="B488" s="184"/>
      <c r="C488" s="219"/>
    </row>
    <row r="489" spans="2:3" ht="12.75">
      <c r="B489" s="184"/>
      <c r="C489" s="219"/>
    </row>
    <row r="490" spans="2:3" ht="12.75">
      <c r="B490" s="184"/>
      <c r="C490" s="219"/>
    </row>
    <row r="491" spans="2:3" ht="12.75">
      <c r="B491" s="184"/>
      <c r="C491" s="219"/>
    </row>
    <row r="492" spans="2:3" ht="12.75">
      <c r="B492" s="184"/>
      <c r="C492" s="219"/>
    </row>
    <row r="493" spans="2:3" ht="12.75">
      <c r="B493" s="184"/>
      <c r="C493" s="219"/>
    </row>
    <row r="494" spans="2:3" ht="12.75">
      <c r="B494" s="184"/>
      <c r="C494" s="219"/>
    </row>
    <row r="495" spans="2:3" ht="12.75">
      <c r="B495" s="184"/>
      <c r="C495" s="219"/>
    </row>
    <row r="496" spans="2:3" ht="12.75">
      <c r="B496" s="184"/>
      <c r="C496" s="219"/>
    </row>
    <row r="497" spans="2:3" ht="12.75">
      <c r="B497" s="184"/>
      <c r="C497" s="219"/>
    </row>
    <row r="498" spans="2:3" ht="12.75">
      <c r="B498" s="184"/>
      <c r="C498" s="219"/>
    </row>
    <row r="499" spans="2:3" ht="12.75">
      <c r="B499" s="184"/>
      <c r="C499" s="219"/>
    </row>
    <row r="500" spans="2:3" ht="12.75">
      <c r="B500" s="184"/>
      <c r="C500" s="219"/>
    </row>
    <row r="501" spans="2:3" ht="12.75">
      <c r="B501" s="184"/>
      <c r="C501" s="219"/>
    </row>
    <row r="502" spans="2:3" ht="12.75">
      <c r="B502" s="184"/>
      <c r="C502" s="219"/>
    </row>
    <row r="503" spans="2:3" ht="12.75">
      <c r="B503" s="184"/>
      <c r="C503" s="219"/>
    </row>
    <row r="504" spans="2:3" ht="12.75">
      <c r="B504" s="184"/>
      <c r="C504" s="219"/>
    </row>
    <row r="505" spans="2:3" ht="12.75">
      <c r="B505" s="184"/>
      <c r="C505" s="219"/>
    </row>
    <row r="506" spans="2:3" ht="12.75">
      <c r="B506" s="184"/>
      <c r="C506" s="219"/>
    </row>
    <row r="507" spans="2:3" ht="12.75">
      <c r="B507" s="184"/>
      <c r="C507" s="219"/>
    </row>
    <row r="508" spans="2:3" ht="12.75">
      <c r="B508" s="184"/>
      <c r="C508" s="219"/>
    </row>
    <row r="509" spans="2:3" ht="12.75">
      <c r="B509" s="184"/>
      <c r="C509" s="219"/>
    </row>
    <row r="510" spans="2:3" ht="12.75">
      <c r="B510" s="184"/>
      <c r="C510" s="219"/>
    </row>
    <row r="511" spans="2:3" ht="12.75">
      <c r="B511" s="184"/>
      <c r="C511" s="219"/>
    </row>
    <row r="512" spans="2:3" ht="12.75">
      <c r="B512" s="184"/>
      <c r="C512" s="219"/>
    </row>
    <row r="513" spans="2:3" ht="12.75">
      <c r="B513" s="184"/>
      <c r="C513" s="219"/>
    </row>
    <row r="514" spans="2:3" ht="12.75">
      <c r="B514" s="184"/>
      <c r="C514" s="219"/>
    </row>
    <row r="515" spans="2:3" ht="12.75">
      <c r="B515" s="184"/>
      <c r="C515" s="219"/>
    </row>
    <row r="516" spans="2:3" ht="12.75">
      <c r="B516" s="184"/>
      <c r="C516" s="219"/>
    </row>
    <row r="517" spans="2:3" ht="12.75">
      <c r="B517" s="184"/>
      <c r="C517" s="219"/>
    </row>
    <row r="518" spans="2:3" ht="12.75">
      <c r="B518" s="184"/>
      <c r="C518" s="219"/>
    </row>
    <row r="519" spans="2:3" ht="12.75">
      <c r="B519" s="184"/>
      <c r="C519" s="219"/>
    </row>
    <row r="520" spans="2:3" ht="12.75">
      <c r="B520" s="184"/>
      <c r="C520" s="219"/>
    </row>
    <row r="521" spans="2:3" ht="12.75">
      <c r="B521" s="184"/>
      <c r="C521" s="219"/>
    </row>
    <row r="522" spans="2:3" ht="12.75">
      <c r="B522" s="184"/>
      <c r="C522" s="219"/>
    </row>
    <row r="523" spans="2:3" ht="12.75">
      <c r="B523" s="184"/>
      <c r="C523" s="219"/>
    </row>
    <row r="524" spans="2:3" ht="12.75">
      <c r="B524" s="184"/>
      <c r="C524" s="219"/>
    </row>
    <row r="525" spans="2:3" ht="12.75">
      <c r="B525" s="184"/>
      <c r="C525" s="219"/>
    </row>
    <row r="526" spans="2:3" ht="12.75">
      <c r="B526" s="184"/>
      <c r="C526" s="219"/>
    </row>
    <row r="527" spans="2:3" ht="12.75">
      <c r="B527" s="184"/>
      <c r="C527" s="219"/>
    </row>
    <row r="528" spans="2:3" ht="12.75">
      <c r="B528" s="184"/>
      <c r="C528" s="219"/>
    </row>
    <row r="529" spans="2:3" ht="12.75">
      <c r="B529" s="184"/>
      <c r="C529" s="219"/>
    </row>
    <row r="530" spans="2:3" ht="12.75">
      <c r="B530" s="184"/>
      <c r="C530" s="219"/>
    </row>
    <row r="531" spans="2:3" ht="12.75">
      <c r="B531" s="184"/>
      <c r="C531" s="219"/>
    </row>
    <row r="532" spans="2:3" ht="12.75">
      <c r="B532" s="184"/>
      <c r="C532" s="219"/>
    </row>
    <row r="533" spans="2:3" ht="12.75">
      <c r="B533" s="184"/>
      <c r="C533" s="219"/>
    </row>
    <row r="534" spans="2:3" ht="12.75">
      <c r="B534" s="184"/>
      <c r="C534" s="219"/>
    </row>
    <row r="535" spans="2:3" ht="12.75">
      <c r="B535" s="184"/>
      <c r="C535" s="219"/>
    </row>
    <row r="536" spans="2:3" ht="12.75">
      <c r="B536" s="184"/>
      <c r="C536" s="219"/>
    </row>
    <row r="537" spans="2:3" ht="12.75">
      <c r="B537" s="184"/>
      <c r="C537" s="219"/>
    </row>
    <row r="538" spans="2:3" ht="12.75">
      <c r="B538" s="184"/>
      <c r="C538" s="219"/>
    </row>
    <row r="539" spans="2:3" ht="12.75">
      <c r="B539" s="184"/>
      <c r="C539" s="219"/>
    </row>
    <row r="540" spans="2:3" ht="12.75">
      <c r="B540" s="184"/>
      <c r="C540" s="219"/>
    </row>
    <row r="541" spans="2:3" ht="12.75">
      <c r="B541" s="184"/>
      <c r="C541" s="219"/>
    </row>
    <row r="542" spans="2:3" ht="12.75">
      <c r="B542" s="184"/>
      <c r="C542" s="219"/>
    </row>
    <row r="543" spans="2:3" ht="12.75">
      <c r="B543" s="184"/>
      <c r="C543" s="219"/>
    </row>
    <row r="544" spans="2:3" ht="12.75">
      <c r="B544" s="184"/>
      <c r="C544" s="219"/>
    </row>
    <row r="545" spans="2:3" ht="12.75">
      <c r="B545" s="184"/>
      <c r="C545" s="219"/>
    </row>
    <row r="546" spans="2:3" ht="12.75">
      <c r="B546" s="184"/>
      <c r="C546" s="219"/>
    </row>
    <row r="547" spans="2:3" ht="12.75">
      <c r="B547" s="184"/>
      <c r="C547" s="219"/>
    </row>
    <row r="548" spans="2:3" ht="12.75">
      <c r="B548" s="184"/>
      <c r="C548" s="219"/>
    </row>
    <row r="549" spans="2:3" ht="12.75">
      <c r="B549" s="184"/>
      <c r="C549" s="219"/>
    </row>
    <row r="550" spans="2:3" ht="12.75">
      <c r="B550" s="184"/>
      <c r="C550" s="219"/>
    </row>
    <row r="551" spans="2:3" ht="12.75">
      <c r="B551" s="184"/>
      <c r="C551" s="219"/>
    </row>
    <row r="552" spans="2:3" ht="12.75">
      <c r="B552" s="184"/>
      <c r="C552" s="219"/>
    </row>
    <row r="553" spans="2:3" ht="12.75">
      <c r="B553" s="184"/>
      <c r="C553" s="219"/>
    </row>
    <row r="554" spans="2:3" ht="12.75">
      <c r="B554" s="184"/>
      <c r="C554" s="219"/>
    </row>
    <row r="555" spans="2:3" ht="12.75">
      <c r="B555" s="184"/>
      <c r="C555" s="219"/>
    </row>
    <row r="556" spans="2:3" ht="12.75">
      <c r="B556" s="184"/>
      <c r="C556" s="219"/>
    </row>
    <row r="557" spans="2:3" ht="12.75">
      <c r="B557" s="184"/>
      <c r="C557" s="219"/>
    </row>
    <row r="558" spans="2:3" ht="12.75">
      <c r="B558" s="184"/>
      <c r="C558" s="219"/>
    </row>
    <row r="559" spans="2:3" ht="12.75">
      <c r="B559" s="184"/>
      <c r="C559" s="219"/>
    </row>
    <row r="560" spans="2:3" ht="12.75">
      <c r="B560" s="184"/>
      <c r="C560" s="219"/>
    </row>
    <row r="561" spans="2:3" ht="12.75">
      <c r="B561" s="184"/>
      <c r="C561" s="219"/>
    </row>
    <row r="562" spans="2:3" ht="12.75">
      <c r="B562" s="184"/>
      <c r="C562" s="219"/>
    </row>
    <row r="563" spans="2:3" ht="12.75">
      <c r="B563" s="184"/>
      <c r="C563" s="219"/>
    </row>
    <row r="564" spans="2:3" ht="12.75">
      <c r="B564" s="184"/>
      <c r="C564" s="219"/>
    </row>
    <row r="565" spans="2:3" ht="12.75">
      <c r="B565" s="184"/>
      <c r="C565" s="219"/>
    </row>
    <row r="566" spans="2:3" ht="12.75">
      <c r="B566" s="184"/>
      <c r="C566" s="219"/>
    </row>
    <row r="567" spans="2:3" ht="12.75">
      <c r="B567" s="184"/>
      <c r="C567" s="219"/>
    </row>
    <row r="568" spans="2:3" ht="12.75">
      <c r="B568" s="184"/>
      <c r="C568" s="219"/>
    </row>
    <row r="569" spans="2:3" ht="12.75">
      <c r="B569" s="184"/>
      <c r="C569" s="219"/>
    </row>
    <row r="570" spans="2:3" ht="12.75">
      <c r="B570" s="184"/>
      <c r="C570" s="219"/>
    </row>
    <row r="571" spans="2:3" ht="12.75">
      <c r="B571" s="184"/>
      <c r="C571" s="219"/>
    </row>
    <row r="572" spans="2:3" ht="12.75">
      <c r="B572" s="184"/>
      <c r="C572" s="219"/>
    </row>
    <row r="573" spans="2:3" ht="12.75">
      <c r="B573" s="184"/>
      <c r="C573" s="219"/>
    </row>
    <row r="574" spans="2:3" ht="12.75">
      <c r="B574" s="184"/>
      <c r="C574" s="219"/>
    </row>
    <row r="575" spans="2:3" ht="12.75">
      <c r="B575" s="184"/>
      <c r="C575" s="219"/>
    </row>
    <row r="576" spans="2:3" ht="12.75">
      <c r="B576" s="184"/>
      <c r="C576" s="219"/>
    </row>
    <row r="577" spans="2:3" ht="12.75">
      <c r="B577" s="184"/>
      <c r="C577" s="219"/>
    </row>
    <row r="578" spans="2:3" ht="12.75">
      <c r="B578" s="184"/>
      <c r="C578" s="219"/>
    </row>
    <row r="579" spans="2:3" ht="12.75">
      <c r="B579" s="184"/>
      <c r="C579" s="219"/>
    </row>
    <row r="580" spans="2:3" ht="12.75">
      <c r="B580" s="184"/>
      <c r="C580" s="219"/>
    </row>
    <row r="581" spans="2:3" ht="12.75">
      <c r="B581" s="184"/>
      <c r="C581" s="219"/>
    </row>
    <row r="582" spans="2:3" ht="12.75">
      <c r="B582" s="184"/>
      <c r="C582" s="219"/>
    </row>
    <row r="583" spans="2:3" ht="12.75">
      <c r="B583" s="184"/>
      <c r="C583" s="219"/>
    </row>
    <row r="584" spans="2:3" ht="12.75">
      <c r="B584" s="184"/>
      <c r="C584" s="219"/>
    </row>
    <row r="585" spans="2:3" ht="12.75">
      <c r="B585" s="184"/>
      <c r="C585" s="219"/>
    </row>
    <row r="586" spans="2:3" ht="12.75">
      <c r="B586" s="184"/>
      <c r="C586" s="219"/>
    </row>
    <row r="587" spans="2:3" ht="12.75">
      <c r="B587" s="184"/>
      <c r="C587" s="219"/>
    </row>
    <row r="588" spans="2:3" ht="12.75">
      <c r="B588" s="184"/>
      <c r="C588" s="219"/>
    </row>
    <row r="589" spans="2:3" ht="12.75">
      <c r="B589" s="184"/>
      <c r="C589" s="219"/>
    </row>
    <row r="590" spans="2:3" ht="12.75">
      <c r="B590" s="184"/>
      <c r="C590" s="219"/>
    </row>
    <row r="591" spans="2:3" ht="12.75">
      <c r="B591" s="184"/>
      <c r="C591" s="219"/>
    </row>
    <row r="592" spans="2:3" ht="12.75">
      <c r="B592" s="184"/>
      <c r="C592" s="219"/>
    </row>
    <row r="593" spans="2:3" ht="12.75">
      <c r="B593" s="184"/>
      <c r="C593" s="219"/>
    </row>
    <row r="594" spans="2:3" ht="12.75">
      <c r="B594" s="184"/>
      <c r="C594" s="219"/>
    </row>
    <row r="595" spans="2:3" ht="12.75">
      <c r="B595" s="184"/>
      <c r="C595" s="219"/>
    </row>
    <row r="596" spans="2:3" ht="12.75">
      <c r="B596" s="184"/>
      <c r="C596" s="219"/>
    </row>
    <row r="597" spans="2:3" ht="12.75">
      <c r="B597" s="184"/>
      <c r="C597" s="219"/>
    </row>
    <row r="598" spans="2:3" ht="12.75">
      <c r="B598" s="184"/>
      <c r="C598" s="219"/>
    </row>
    <row r="599" spans="2:3" ht="12.75">
      <c r="B599" s="184"/>
      <c r="C599" s="219"/>
    </row>
    <row r="600" spans="2:3" ht="12.75">
      <c r="B600" s="184"/>
      <c r="C600" s="219"/>
    </row>
    <row r="601" spans="2:3" ht="12.75">
      <c r="B601" s="184"/>
      <c r="C601" s="219"/>
    </row>
    <row r="602" spans="2:3" ht="12.75">
      <c r="B602" s="184"/>
      <c r="C602" s="219"/>
    </row>
    <row r="603" spans="2:3" ht="12.75">
      <c r="B603" s="184"/>
      <c r="C603" s="219"/>
    </row>
    <row r="604" spans="2:3" ht="12.75">
      <c r="B604" s="184"/>
      <c r="C604" s="219"/>
    </row>
    <row r="605" spans="2:3" ht="12.75">
      <c r="B605" s="184"/>
      <c r="C605" s="219"/>
    </row>
    <row r="606" spans="2:3" ht="12.75">
      <c r="B606" s="184"/>
      <c r="C606" s="219"/>
    </row>
    <row r="607" spans="2:3" ht="12.75">
      <c r="B607" s="184"/>
      <c r="C607" s="219"/>
    </row>
    <row r="608" spans="2:3" ht="12.75">
      <c r="B608" s="184"/>
      <c r="C608" s="219"/>
    </row>
    <row r="609" spans="2:3" ht="12.75">
      <c r="B609" s="184"/>
      <c r="C609" s="219"/>
    </row>
    <row r="610" spans="2:3" ht="12.75">
      <c r="B610" s="184"/>
      <c r="C610" s="219"/>
    </row>
    <row r="611" spans="2:3" ht="12.75">
      <c r="B611" s="184"/>
      <c r="C611" s="219"/>
    </row>
    <row r="612" spans="2:3" ht="12.75">
      <c r="B612" s="184"/>
      <c r="C612" s="219"/>
    </row>
    <row r="613" spans="2:3" ht="12.75">
      <c r="B613" s="184"/>
      <c r="C613" s="219"/>
    </row>
    <row r="614" spans="2:3" ht="12.75">
      <c r="B614" s="184"/>
      <c r="C614" s="219"/>
    </row>
    <row r="615" spans="2:3" ht="12.75">
      <c r="B615" s="184"/>
      <c r="C615" s="219"/>
    </row>
    <row r="616" spans="2:3" ht="12.75">
      <c r="B616" s="184"/>
      <c r="C616" s="219"/>
    </row>
    <row r="617" spans="2:3" ht="12.75">
      <c r="B617" s="184"/>
      <c r="C617" s="219"/>
    </row>
    <row r="618" spans="2:3" ht="12.75">
      <c r="B618" s="184"/>
      <c r="C618" s="219"/>
    </row>
    <row r="619" spans="2:3" ht="12.75">
      <c r="B619" s="184"/>
      <c r="C619" s="219"/>
    </row>
    <row r="620" spans="2:3" ht="12.75">
      <c r="B620" s="184"/>
      <c r="C620" s="219"/>
    </row>
    <row r="621" spans="2:3" ht="12.75">
      <c r="B621" s="184"/>
      <c r="C621" s="219"/>
    </row>
    <row r="622" spans="2:3" ht="12.75">
      <c r="B622" s="184"/>
      <c r="C622" s="219"/>
    </row>
    <row r="623" spans="2:3" ht="12.75">
      <c r="B623" s="184"/>
      <c r="C623" s="219"/>
    </row>
    <row r="624" spans="2:3" ht="12.75">
      <c r="B624" s="184"/>
      <c r="C624" s="219"/>
    </row>
    <row r="625" spans="2:3" ht="12.75">
      <c r="B625" s="184"/>
      <c r="C625" s="219"/>
    </row>
    <row r="626" spans="2:3" ht="12.75">
      <c r="B626" s="184"/>
      <c r="C626" s="219"/>
    </row>
    <row r="627" spans="2:3" ht="12.75">
      <c r="B627" s="184"/>
      <c r="C627" s="219"/>
    </row>
    <row r="628" spans="2:3" ht="12.75">
      <c r="B628" s="184"/>
      <c r="C628" s="219"/>
    </row>
    <row r="629" spans="2:3" ht="12.75">
      <c r="B629" s="184"/>
      <c r="C629" s="219"/>
    </row>
    <row r="630" spans="2:3" ht="12.75">
      <c r="B630" s="184"/>
      <c r="C630" s="219"/>
    </row>
    <row r="631" spans="2:3" ht="12.75">
      <c r="B631" s="184"/>
      <c r="C631" s="219"/>
    </row>
    <row r="632" spans="2:3" ht="12.75">
      <c r="B632" s="184"/>
      <c r="C632" s="219"/>
    </row>
    <row r="633" spans="2:3" ht="12.75">
      <c r="B633" s="184"/>
      <c r="C633" s="219"/>
    </row>
    <row r="634" spans="2:3" ht="12.75">
      <c r="B634" s="184"/>
      <c r="C634" s="219"/>
    </row>
    <row r="635" spans="2:3" ht="12.75">
      <c r="B635" s="184"/>
      <c r="C635" s="219"/>
    </row>
    <row r="636" spans="2:3" ht="12.75">
      <c r="B636" s="184"/>
      <c r="C636" s="219"/>
    </row>
    <row r="637" spans="2:3" ht="12.75">
      <c r="B637" s="184"/>
      <c r="C637" s="219"/>
    </row>
    <row r="638" spans="2:3" ht="12.75">
      <c r="B638" s="184"/>
      <c r="C638" s="219"/>
    </row>
    <row r="639" spans="2:3" ht="12.75">
      <c r="B639" s="184"/>
      <c r="C639" s="219"/>
    </row>
    <row r="640" spans="2:3" ht="12.75">
      <c r="B640" s="184"/>
      <c r="C640" s="219"/>
    </row>
    <row r="641" spans="2:3" ht="12.75">
      <c r="B641" s="184"/>
      <c r="C641" s="219"/>
    </row>
    <row r="642" spans="2:3" ht="12.75">
      <c r="B642" s="184"/>
      <c r="C642" s="219"/>
    </row>
    <row r="643" spans="2:3" ht="12.75">
      <c r="B643" s="184"/>
      <c r="C643" s="219"/>
    </row>
    <row r="644" spans="2:3" ht="12.75">
      <c r="B644" s="184"/>
      <c r="C644" s="219"/>
    </row>
    <row r="645" spans="2:3" ht="12.75">
      <c r="B645" s="184"/>
      <c r="C645" s="219"/>
    </row>
    <row r="646" spans="2:3" ht="12.75">
      <c r="B646" s="184"/>
      <c r="C646" s="219"/>
    </row>
    <row r="647" spans="2:3" ht="12.75">
      <c r="B647" s="184"/>
      <c r="C647" s="219"/>
    </row>
    <row r="648" spans="2:3" ht="12.75">
      <c r="B648" s="184"/>
      <c r="C648" s="219"/>
    </row>
    <row r="649" spans="2:3" ht="12.75">
      <c r="B649" s="184"/>
      <c r="C649" s="219"/>
    </row>
    <row r="650" spans="2:3" ht="12.75">
      <c r="B650" s="184"/>
      <c r="C650" s="219"/>
    </row>
    <row r="651" spans="2:3" ht="12.75">
      <c r="B651" s="184"/>
      <c r="C651" s="219"/>
    </row>
    <row r="652" spans="2:3" ht="12.75">
      <c r="B652" s="184"/>
      <c r="C652" s="219"/>
    </row>
    <row r="653" spans="2:3" ht="12.75">
      <c r="B653" s="184"/>
      <c r="C653" s="219"/>
    </row>
    <row r="654" spans="2:3" ht="12.75">
      <c r="B654" s="184"/>
      <c r="C654" s="219"/>
    </row>
    <row r="655" spans="2:3" ht="12.75">
      <c r="B655" s="184"/>
      <c r="C655" s="219"/>
    </row>
    <row r="656" spans="2:3" ht="12.75">
      <c r="B656" s="184"/>
      <c r="C656" s="219"/>
    </row>
    <row r="657" spans="2:3" ht="12.75">
      <c r="B657" s="184"/>
      <c r="C657" s="219"/>
    </row>
    <row r="658" spans="2:3" ht="12.75">
      <c r="B658" s="184"/>
      <c r="C658" s="219"/>
    </row>
    <row r="659" spans="2:3" ht="12.75">
      <c r="B659" s="184"/>
      <c r="C659" s="219"/>
    </row>
    <row r="660" spans="2:3" ht="12.75">
      <c r="B660" s="184"/>
      <c r="C660" s="219"/>
    </row>
    <row r="661" spans="2:3" ht="12.75">
      <c r="B661" s="184"/>
      <c r="C661" s="219"/>
    </row>
    <row r="662" spans="2:3" ht="12.75">
      <c r="B662" s="184"/>
      <c r="C662" s="219"/>
    </row>
    <row r="663" spans="2:3" ht="12.75">
      <c r="B663" s="184"/>
      <c r="C663" s="219"/>
    </row>
    <row r="664" spans="2:3" ht="12.75">
      <c r="B664" s="184"/>
      <c r="C664" s="219"/>
    </row>
    <row r="665" spans="2:3" ht="12.75">
      <c r="B665" s="184"/>
      <c r="C665" s="219"/>
    </row>
    <row r="666" spans="2:3" ht="12.75">
      <c r="B666" s="184"/>
      <c r="C666" s="219"/>
    </row>
    <row r="667" spans="2:3" ht="12.75">
      <c r="B667" s="184"/>
      <c r="C667" s="219"/>
    </row>
    <row r="668" spans="2:3" ht="12.75">
      <c r="B668" s="184"/>
      <c r="C668" s="219"/>
    </row>
    <row r="669" spans="2:3" ht="12.75">
      <c r="B669" s="184"/>
      <c r="C669" s="219"/>
    </row>
    <row r="670" spans="2:3" ht="12.75">
      <c r="B670" s="184"/>
      <c r="C670" s="219"/>
    </row>
    <row r="671" spans="2:3" ht="12.75">
      <c r="B671" s="184"/>
      <c r="C671" s="219"/>
    </row>
    <row r="672" spans="2:3" ht="12.75">
      <c r="B672" s="184"/>
      <c r="C672" s="219"/>
    </row>
    <row r="673" spans="2:3" ht="12.75">
      <c r="B673" s="184"/>
      <c r="C673" s="219"/>
    </row>
    <row r="674" spans="2:3" ht="12.75">
      <c r="B674" s="184"/>
      <c r="C674" s="219"/>
    </row>
    <row r="675" spans="2:3" ht="12.75">
      <c r="B675" s="184"/>
      <c r="C675" s="219"/>
    </row>
    <row r="676" spans="2:3" ht="12.75">
      <c r="B676" s="184"/>
      <c r="C676" s="219"/>
    </row>
    <row r="677" spans="2:3" ht="12.75">
      <c r="B677" s="184"/>
      <c r="C677" s="219"/>
    </row>
    <row r="678" spans="2:3" ht="12.75">
      <c r="B678" s="184"/>
      <c r="C678" s="219"/>
    </row>
    <row r="679" spans="2:3" ht="12.75">
      <c r="B679" s="184"/>
      <c r="C679" s="219"/>
    </row>
    <row r="680" spans="2:3" ht="12.75">
      <c r="B680" s="184"/>
      <c r="C680" s="219"/>
    </row>
    <row r="681" spans="2:3" ht="12.75">
      <c r="B681" s="184"/>
      <c r="C681" s="219"/>
    </row>
    <row r="682" spans="2:3" ht="12.75">
      <c r="B682" s="184"/>
      <c r="C682" s="219"/>
    </row>
    <row r="683" spans="2:3" ht="12.75">
      <c r="B683" s="184"/>
      <c r="C683" s="219"/>
    </row>
    <row r="684" spans="2:3" ht="12.75">
      <c r="B684" s="184"/>
      <c r="C684" s="219"/>
    </row>
    <row r="685" spans="2:3" ht="12.75">
      <c r="B685" s="184"/>
      <c r="C685" s="219"/>
    </row>
    <row r="686" spans="2:3" ht="12.75">
      <c r="B686" s="184"/>
      <c r="C686" s="219"/>
    </row>
    <row r="687" spans="2:3" ht="12.75">
      <c r="B687" s="184"/>
      <c r="C687" s="219"/>
    </row>
    <row r="688" spans="2:3" ht="12.75">
      <c r="B688" s="184"/>
      <c r="C688" s="219"/>
    </row>
    <row r="689" spans="2:3" ht="12.75">
      <c r="B689" s="184"/>
      <c r="C689" s="219"/>
    </row>
    <row r="690" spans="2:3" ht="12.75">
      <c r="B690" s="184"/>
      <c r="C690" s="219"/>
    </row>
    <row r="691" spans="2:3" ht="12.75">
      <c r="B691" s="184"/>
      <c r="C691" s="219"/>
    </row>
    <row r="692" spans="2:3" ht="12.75">
      <c r="B692" s="184"/>
      <c r="C692" s="219"/>
    </row>
    <row r="693" spans="2:3" ht="12.75">
      <c r="B693" s="184"/>
      <c r="C693" s="219"/>
    </row>
    <row r="694" spans="2:3" ht="12.75">
      <c r="B694" s="184"/>
      <c r="C694" s="219"/>
    </row>
    <row r="695" spans="2:3" ht="12.75">
      <c r="B695" s="184"/>
      <c r="C695" s="219"/>
    </row>
    <row r="696" spans="2:3" ht="12.75">
      <c r="B696" s="184"/>
      <c r="C696" s="219"/>
    </row>
    <row r="697" spans="2:3" ht="12.75">
      <c r="B697" s="184"/>
      <c r="C697" s="219"/>
    </row>
    <row r="698" spans="2:3" ht="12.75">
      <c r="B698" s="184"/>
      <c r="C698" s="219"/>
    </row>
    <row r="699" spans="2:3" ht="12.75">
      <c r="B699" s="184"/>
      <c r="C699" s="219"/>
    </row>
    <row r="700" spans="2:3" ht="12.75">
      <c r="B700" s="184"/>
      <c r="C700" s="219"/>
    </row>
    <row r="701" spans="2:3" ht="12.75">
      <c r="B701" s="184"/>
      <c r="C701" s="219"/>
    </row>
    <row r="702" spans="2:3" ht="12.75">
      <c r="B702" s="184"/>
      <c r="C702" s="219"/>
    </row>
    <row r="703" spans="2:3" ht="12.75">
      <c r="B703" s="184"/>
      <c r="C703" s="219"/>
    </row>
    <row r="704" spans="2:3" ht="12.75">
      <c r="B704" s="184"/>
      <c r="C704" s="219"/>
    </row>
    <row r="705" spans="2:3" ht="12.75">
      <c r="B705" s="184"/>
      <c r="C705" s="219"/>
    </row>
    <row r="706" spans="2:3" ht="12.75">
      <c r="B706" s="184"/>
      <c r="C706" s="219"/>
    </row>
    <row r="707" spans="2:3" ht="12.75">
      <c r="B707" s="184"/>
      <c r="C707" s="219"/>
    </row>
    <row r="708" spans="2:3" ht="12.75">
      <c r="B708" s="184"/>
      <c r="C708" s="219"/>
    </row>
    <row r="709" spans="2:3" ht="12.75">
      <c r="B709" s="184"/>
      <c r="C709" s="219"/>
    </row>
    <row r="710" spans="2:3" ht="12.75">
      <c r="B710" s="184"/>
      <c r="C710" s="219"/>
    </row>
    <row r="711" spans="2:3" ht="12.75">
      <c r="B711" s="184"/>
      <c r="C711" s="219"/>
    </row>
    <row r="712" spans="2:3" ht="12.75">
      <c r="B712" s="184"/>
      <c r="C712" s="219"/>
    </row>
    <row r="713" spans="2:3" ht="12.75">
      <c r="B713" s="184"/>
      <c r="C713" s="219"/>
    </row>
    <row r="714" spans="2:3" ht="12.75">
      <c r="B714" s="184"/>
      <c r="C714" s="219"/>
    </row>
    <row r="715" spans="2:3" ht="12.75">
      <c r="B715" s="184"/>
      <c r="C715" s="219"/>
    </row>
    <row r="716" spans="2:3" ht="12.75">
      <c r="B716" s="184"/>
      <c r="C716" s="219"/>
    </row>
    <row r="717" spans="2:3" ht="12.75">
      <c r="B717" s="184"/>
      <c r="C717" s="219"/>
    </row>
    <row r="718" spans="2:3" ht="12.75">
      <c r="B718" s="184"/>
      <c r="C718" s="219"/>
    </row>
    <row r="719" spans="2:3" ht="12.75">
      <c r="B719" s="184"/>
      <c r="C719" s="219"/>
    </row>
    <row r="720" spans="2:3" ht="12.75">
      <c r="B720" s="184"/>
      <c r="C720" s="219"/>
    </row>
    <row r="721" spans="2:3" ht="12.75">
      <c r="B721" s="184"/>
      <c r="C721" s="219"/>
    </row>
    <row r="722" spans="2:3" ht="12.75">
      <c r="B722" s="184"/>
      <c r="C722" s="219"/>
    </row>
    <row r="723" spans="2:3" ht="12.75">
      <c r="B723" s="184"/>
      <c r="C723" s="219"/>
    </row>
    <row r="724" spans="2:3" ht="12.75">
      <c r="B724" s="184"/>
      <c r="C724" s="219"/>
    </row>
    <row r="725" spans="2:3" ht="12.75">
      <c r="B725" s="184"/>
      <c r="C725" s="219"/>
    </row>
    <row r="726" spans="2:3" ht="12.75">
      <c r="B726" s="184"/>
      <c r="C726" s="219"/>
    </row>
    <row r="727" spans="2:3" ht="12.75">
      <c r="B727" s="184"/>
      <c r="C727" s="219"/>
    </row>
    <row r="728" spans="2:3" ht="12.75">
      <c r="B728" s="184"/>
      <c r="C728" s="219"/>
    </row>
    <row r="729" spans="2:3" ht="12.75">
      <c r="B729" s="184"/>
      <c r="C729" s="219"/>
    </row>
    <row r="730" spans="2:3" ht="12.75">
      <c r="B730" s="184"/>
      <c r="C730" s="219"/>
    </row>
    <row r="731" spans="2:3" ht="12.75">
      <c r="B731" s="184"/>
      <c r="C731" s="219"/>
    </row>
    <row r="732" spans="2:3" ht="12.75">
      <c r="B732" s="184"/>
      <c r="C732" s="219"/>
    </row>
    <row r="733" spans="2:3" ht="12.75">
      <c r="B733" s="184"/>
      <c r="C733" s="219"/>
    </row>
    <row r="734" spans="2:3" ht="12.75">
      <c r="B734" s="184"/>
      <c r="C734" s="219"/>
    </row>
    <row r="735" spans="2:3" ht="12.75">
      <c r="B735" s="184"/>
      <c r="C735" s="219"/>
    </row>
    <row r="736" spans="2:3" ht="12.75">
      <c r="B736" s="184"/>
      <c r="C736" s="219"/>
    </row>
    <row r="737" spans="2:3" ht="12.75">
      <c r="B737" s="184"/>
      <c r="C737" s="219"/>
    </row>
    <row r="738" spans="2:3" ht="12.75">
      <c r="B738" s="184"/>
      <c r="C738" s="219"/>
    </row>
    <row r="739" spans="2:3" ht="12.75">
      <c r="B739" s="184"/>
      <c r="C739" s="219"/>
    </row>
    <row r="740" spans="2:3" ht="12.75">
      <c r="B740" s="184"/>
      <c r="C740" s="219"/>
    </row>
    <row r="741" spans="2:3" ht="12.75">
      <c r="B741" s="184"/>
      <c r="C741" s="219"/>
    </row>
    <row r="742" spans="2:3" ht="12.75">
      <c r="B742" s="184"/>
      <c r="C742" s="219"/>
    </row>
    <row r="743" spans="2:3" ht="12.75">
      <c r="B743" s="184"/>
      <c r="C743" s="219"/>
    </row>
    <row r="744" spans="2:3" ht="12.75">
      <c r="B744" s="184"/>
      <c r="C744" s="219"/>
    </row>
    <row r="745" spans="2:3" ht="12.75">
      <c r="B745" s="184"/>
      <c r="C745" s="219"/>
    </row>
    <row r="746" spans="2:3" ht="12.75">
      <c r="B746" s="184"/>
      <c r="C746" s="219"/>
    </row>
    <row r="747" spans="2:3" ht="12.75">
      <c r="B747" s="184"/>
      <c r="C747" s="219"/>
    </row>
    <row r="748" spans="2:3" ht="12.75">
      <c r="B748" s="184"/>
      <c r="C748" s="219"/>
    </row>
    <row r="749" spans="2:3" ht="12.75">
      <c r="B749" s="184"/>
      <c r="C749" s="219"/>
    </row>
    <row r="750" spans="2:3" ht="12.75">
      <c r="B750" s="184"/>
      <c r="C750" s="219"/>
    </row>
    <row r="751" spans="2:3" ht="12.75">
      <c r="B751" s="184"/>
      <c r="C751" s="219"/>
    </row>
    <row r="752" spans="2:3" ht="12.75">
      <c r="B752" s="184"/>
      <c r="C752" s="219"/>
    </row>
    <row r="753" spans="2:3" ht="12.75">
      <c r="B753" s="184"/>
      <c r="C753" s="219"/>
    </row>
    <row r="754" spans="2:3" ht="12.75">
      <c r="B754" s="184"/>
      <c r="C754" s="219"/>
    </row>
    <row r="755" spans="2:3" ht="12.75">
      <c r="B755" s="184"/>
      <c r="C755" s="219"/>
    </row>
    <row r="756" spans="2:3" ht="12.75">
      <c r="B756" s="184"/>
      <c r="C756" s="219"/>
    </row>
    <row r="757" spans="2:3" ht="12.75">
      <c r="B757" s="184"/>
      <c r="C757" s="219"/>
    </row>
    <row r="758" spans="2:3" ht="12.75">
      <c r="B758" s="184"/>
      <c r="C758" s="219"/>
    </row>
    <row r="759" spans="2:3" ht="12.75">
      <c r="B759" s="184"/>
      <c r="C759" s="219"/>
    </row>
    <row r="760" spans="2:3" ht="12.75">
      <c r="B760" s="184"/>
      <c r="C760" s="219"/>
    </row>
    <row r="761" spans="2:3" ht="12.75">
      <c r="B761" s="184"/>
      <c r="C761" s="219"/>
    </row>
    <row r="762" spans="2:3" ht="12.75">
      <c r="B762" s="184"/>
      <c r="C762" s="184"/>
    </row>
    <row r="763" spans="2:3" ht="12.75">
      <c r="B763" s="184"/>
      <c r="C763" s="184"/>
    </row>
    <row r="764" spans="2:3" ht="12.75">
      <c r="B764" s="184"/>
      <c r="C764" s="184"/>
    </row>
    <row r="765" spans="2:3" ht="12.75">
      <c r="B765" s="184"/>
      <c r="C765" s="184"/>
    </row>
    <row r="766" spans="2:3" ht="12.75">
      <c r="B766" s="184"/>
      <c r="C766" s="184"/>
    </row>
    <row r="767" spans="2:3" ht="12.75">
      <c r="B767" s="184"/>
      <c r="C767" s="184"/>
    </row>
    <row r="768" spans="2:3" ht="12.75">
      <c r="B768" s="184"/>
      <c r="C768" s="184"/>
    </row>
    <row r="769" spans="2:3" ht="12.75">
      <c r="B769" s="184"/>
      <c r="C769" s="184"/>
    </row>
    <row r="770" spans="2:3" ht="12.75">
      <c r="B770" s="184"/>
      <c r="C770" s="184"/>
    </row>
    <row r="771" spans="2:3" ht="12.75">
      <c r="B771" s="184"/>
      <c r="C771" s="184"/>
    </row>
    <row r="772" spans="2:3" ht="12.75">
      <c r="B772" s="184"/>
      <c r="C772" s="184"/>
    </row>
    <row r="773" spans="2:3" ht="12.75">
      <c r="B773" s="184"/>
      <c r="C773" s="184"/>
    </row>
    <row r="774" spans="2:3" ht="12.75">
      <c r="B774" s="184"/>
      <c r="C774" s="184"/>
    </row>
    <row r="775" spans="2:3" ht="12.75">
      <c r="B775" s="184"/>
      <c r="C775" s="184"/>
    </row>
    <row r="776" spans="2:3" ht="12.75">
      <c r="B776" s="184"/>
      <c r="C776" s="184"/>
    </row>
    <row r="777" spans="2:3" ht="12.75">
      <c r="B777" s="184"/>
      <c r="C777" s="184"/>
    </row>
    <row r="778" spans="2:3" ht="12.75">
      <c r="B778" s="184"/>
      <c r="C778" s="184"/>
    </row>
    <row r="779" spans="2:3" ht="12.75">
      <c r="B779" s="184"/>
      <c r="C779" s="184"/>
    </row>
    <row r="780" spans="2:3" ht="12.75">
      <c r="B780" s="184"/>
      <c r="C780" s="184"/>
    </row>
    <row r="781" spans="2:3" ht="12.75">
      <c r="B781" s="184"/>
      <c r="C781" s="184"/>
    </row>
    <row r="782" spans="2:3" ht="12.75">
      <c r="B782" s="184"/>
      <c r="C782" s="184"/>
    </row>
    <row r="783" spans="2:3" ht="12.75">
      <c r="B783" s="184"/>
      <c r="C783" s="184"/>
    </row>
    <row r="784" spans="2:3" ht="12.75">
      <c r="B784" s="184"/>
      <c r="C784" s="184"/>
    </row>
    <row r="785" spans="2:3" ht="12.75">
      <c r="B785" s="184"/>
      <c r="C785" s="184"/>
    </row>
    <row r="786" spans="2:3" ht="12.75">
      <c r="B786" s="184"/>
      <c r="C786" s="184"/>
    </row>
    <row r="787" spans="2:3" ht="12.75">
      <c r="B787" s="184"/>
      <c r="C787" s="184"/>
    </row>
    <row r="788" spans="2:3" ht="12.75">
      <c r="B788" s="184"/>
      <c r="C788" s="184"/>
    </row>
    <row r="789" spans="2:3" ht="12.75">
      <c r="B789" s="184"/>
      <c r="C789" s="184"/>
    </row>
    <row r="790" spans="2:3" ht="12.75">
      <c r="B790" s="184"/>
      <c r="C790" s="184"/>
    </row>
    <row r="791" spans="2:3" ht="12.75">
      <c r="B791" s="184"/>
      <c r="C791" s="184"/>
    </row>
    <row r="792" spans="2:3" ht="12.75">
      <c r="B792" s="184"/>
      <c r="C792" s="184"/>
    </row>
    <row r="793" spans="2:3" ht="12.75">
      <c r="B793" s="184"/>
      <c r="C793" s="184"/>
    </row>
    <row r="794" spans="2:3" ht="12.75">
      <c r="B794" s="184"/>
      <c r="C794" s="184"/>
    </row>
    <row r="795" spans="2:3" ht="12.75">
      <c r="B795" s="184"/>
      <c r="C795" s="184"/>
    </row>
    <row r="796" spans="2:3" ht="12.75">
      <c r="B796" s="184"/>
      <c r="C796" s="184"/>
    </row>
    <row r="797" spans="2:3" ht="12.75">
      <c r="B797" s="184"/>
      <c r="C797" s="184"/>
    </row>
    <row r="798" spans="2:3" ht="12.75">
      <c r="B798" s="184"/>
      <c r="C798" s="184"/>
    </row>
    <row r="799" spans="2:3" ht="12.75">
      <c r="B799" s="184"/>
      <c r="C799" s="184"/>
    </row>
    <row r="800" spans="2:3" ht="12.75">
      <c r="B800" s="184"/>
      <c r="C800" s="184"/>
    </row>
    <row r="801" spans="2:3" ht="12.75">
      <c r="B801" s="184"/>
      <c r="C801" s="184"/>
    </row>
    <row r="802" spans="2:3" ht="12.75">
      <c r="B802" s="184"/>
      <c r="C802" s="184"/>
    </row>
    <row r="803" spans="2:3" ht="12.75">
      <c r="B803" s="184"/>
      <c r="C803" s="184"/>
    </row>
    <row r="804" spans="2:3" ht="12.75">
      <c r="B804" s="184"/>
      <c r="C804" s="184"/>
    </row>
    <row r="805" spans="2:3" ht="12.75">
      <c r="B805" s="184"/>
      <c r="C805" s="184"/>
    </row>
    <row r="806" spans="2:3" ht="12.75">
      <c r="B806" s="184"/>
      <c r="C806" s="184"/>
    </row>
    <row r="807" spans="2:3" ht="12.75">
      <c r="B807" s="184"/>
      <c r="C807" s="184"/>
    </row>
    <row r="808" spans="2:3" ht="12.75">
      <c r="B808" s="184"/>
      <c r="C808" s="184"/>
    </row>
    <row r="809" spans="2:3" ht="12.75">
      <c r="B809" s="184"/>
      <c r="C809" s="184"/>
    </row>
    <row r="810" spans="2:3" ht="12.75">
      <c r="B810" s="184"/>
      <c r="C810" s="184"/>
    </row>
    <row r="811" spans="2:3" ht="12.75">
      <c r="B811" s="184"/>
      <c r="C811" s="184"/>
    </row>
    <row r="812" spans="2:3" ht="12.75">
      <c r="B812" s="184"/>
      <c r="C812" s="184"/>
    </row>
    <row r="813" spans="2:3" ht="12.75">
      <c r="B813" s="184"/>
      <c r="C813" s="184"/>
    </row>
    <row r="814" spans="2:3" ht="12.75">
      <c r="B814" s="184"/>
      <c r="C814" s="184"/>
    </row>
    <row r="815" spans="2:3" ht="12.75">
      <c r="B815" s="184"/>
      <c r="C815" s="184"/>
    </row>
    <row r="816" spans="2:3" ht="12.75">
      <c r="B816" s="184"/>
      <c r="C816" s="184"/>
    </row>
    <row r="817" spans="2:3" ht="12.75">
      <c r="B817" s="184"/>
      <c r="C817" s="184"/>
    </row>
    <row r="818" spans="2:3" ht="12.75">
      <c r="B818" s="184"/>
      <c r="C818" s="184"/>
    </row>
    <row r="819" spans="2:3" ht="12.75">
      <c r="B819" s="184"/>
      <c r="C819" s="184"/>
    </row>
    <row r="820" spans="2:3" ht="12.75">
      <c r="B820" s="184"/>
      <c r="C820" s="184"/>
    </row>
    <row r="821" spans="2:3" ht="12.75">
      <c r="B821" s="184"/>
      <c r="C821" s="184"/>
    </row>
    <row r="822" spans="2:3" ht="12.75">
      <c r="B822" s="184"/>
      <c r="C822" s="184"/>
    </row>
    <row r="823" spans="2:3" ht="12.75">
      <c r="B823" s="184"/>
      <c r="C823" s="184"/>
    </row>
    <row r="824" spans="2:3" ht="12.75">
      <c r="B824" s="184"/>
      <c r="C824" s="184"/>
    </row>
    <row r="825" spans="2:3" ht="12.75">
      <c r="B825" s="184"/>
      <c r="C825" s="184"/>
    </row>
    <row r="826" spans="2:3" ht="12.75">
      <c r="B826" s="184"/>
      <c r="C826" s="184"/>
    </row>
    <row r="827" spans="2:3" ht="12.75">
      <c r="B827" s="184"/>
      <c r="C827" s="184"/>
    </row>
    <row r="828" spans="2:3" ht="12.75">
      <c r="B828" s="184"/>
      <c r="C828" s="184"/>
    </row>
    <row r="829" spans="2:3" ht="12.75">
      <c r="B829" s="184"/>
      <c r="C829" s="184"/>
    </row>
    <row r="830" spans="2:3" ht="12.75">
      <c r="B830" s="184"/>
      <c r="C830" s="184"/>
    </row>
    <row r="831" spans="2:3" ht="12.75">
      <c r="B831" s="184"/>
      <c r="C831" s="184"/>
    </row>
    <row r="832" spans="2:3" ht="12.75">
      <c r="B832" s="184"/>
      <c r="C832" s="184"/>
    </row>
    <row r="833" spans="2:3" ht="12.75">
      <c r="B833" s="184"/>
      <c r="C833" s="184"/>
    </row>
    <row r="834" spans="2:3" ht="12.75">
      <c r="B834" s="184"/>
      <c r="C834" s="184"/>
    </row>
    <row r="835" spans="2:3" ht="12.75">
      <c r="B835" s="184"/>
      <c r="C835" s="184"/>
    </row>
    <row r="836" spans="2:3" ht="12.75">
      <c r="B836" s="184"/>
      <c r="C836" s="184"/>
    </row>
    <row r="837" spans="2:3" ht="12.75">
      <c r="B837" s="184"/>
      <c r="C837" s="184"/>
    </row>
    <row r="838" spans="2:3" ht="12.75">
      <c r="B838" s="184"/>
      <c r="C838" s="184"/>
    </row>
    <row r="839" spans="2:3" ht="12.75">
      <c r="B839" s="184"/>
      <c r="C839" s="184"/>
    </row>
    <row r="840" spans="2:3" ht="12.75">
      <c r="B840" s="184"/>
      <c r="C840" s="184"/>
    </row>
    <row r="841" spans="2:3" ht="12.75">
      <c r="B841" s="184"/>
      <c r="C841" s="184"/>
    </row>
    <row r="842" spans="2:3" ht="12.75">
      <c r="B842" s="184"/>
      <c r="C842" s="184"/>
    </row>
    <row r="843" spans="2:3" ht="12.75">
      <c r="B843" s="184"/>
      <c r="C843" s="184"/>
    </row>
    <row r="844" spans="2:3" ht="12.75">
      <c r="B844" s="184"/>
      <c r="C844" s="184"/>
    </row>
    <row r="845" spans="2:3" ht="12.75">
      <c r="B845" s="184"/>
      <c r="C845" s="184"/>
    </row>
    <row r="846" spans="2:3" ht="12.75">
      <c r="B846" s="184"/>
      <c r="C846" s="184"/>
    </row>
    <row r="847" spans="2:3" ht="12.75">
      <c r="B847" s="184"/>
      <c r="C847" s="184"/>
    </row>
    <row r="848" spans="2:3" ht="12.75">
      <c r="B848" s="184"/>
      <c r="C848" s="184"/>
    </row>
    <row r="849" spans="2:3" ht="12.75">
      <c r="B849" s="184"/>
      <c r="C849" s="184"/>
    </row>
    <row r="850" spans="2:3" ht="12.75">
      <c r="B850" s="184"/>
      <c r="C850" s="184"/>
    </row>
    <row r="851" spans="2:3" ht="12.75">
      <c r="B851" s="184"/>
      <c r="C851" s="184"/>
    </row>
    <row r="852" spans="2:3" ht="12.75">
      <c r="B852" s="184"/>
      <c r="C852" s="184"/>
    </row>
    <row r="853" spans="2:3" ht="12.75">
      <c r="B853" s="184"/>
      <c r="C853" s="184"/>
    </row>
    <row r="854" spans="2:3" ht="12.75">
      <c r="B854" s="184"/>
      <c r="C854" s="184"/>
    </row>
    <row r="855" spans="2:3" ht="12.75">
      <c r="B855" s="184"/>
      <c r="C855" s="184"/>
    </row>
    <row r="856" spans="2:3" ht="12.75">
      <c r="B856" s="184"/>
      <c r="C856" s="184"/>
    </row>
    <row r="857" spans="2:3" ht="12.75">
      <c r="B857" s="184"/>
      <c r="C857" s="184"/>
    </row>
    <row r="858" spans="2:3" ht="12.75">
      <c r="B858" s="184"/>
      <c r="C858" s="184"/>
    </row>
    <row r="859" spans="2:3" ht="12.75">
      <c r="B859" s="184"/>
      <c r="C859" s="184"/>
    </row>
    <row r="860" spans="2:3" ht="12.75">
      <c r="B860" s="184"/>
      <c r="C860" s="184"/>
    </row>
    <row r="861" spans="2:3" ht="12.75">
      <c r="B861" s="184"/>
      <c r="C861" s="184"/>
    </row>
    <row r="862" spans="2:3" ht="12.75">
      <c r="B862" s="184"/>
      <c r="C862" s="184"/>
    </row>
    <row r="863" spans="2:3" ht="12.75">
      <c r="B863" s="184"/>
      <c r="C863" s="184"/>
    </row>
    <row r="864" spans="2:3" ht="12.75">
      <c r="B864" s="184"/>
      <c r="C864" s="184"/>
    </row>
    <row r="865" spans="2:3" ht="12.75">
      <c r="B865" s="184"/>
      <c r="C865" s="184"/>
    </row>
    <row r="866" spans="2:3" ht="12.75">
      <c r="B866" s="184"/>
      <c r="C866" s="184"/>
    </row>
    <row r="867" spans="2:3" ht="12.75">
      <c r="B867" s="184"/>
      <c r="C867" s="184"/>
    </row>
    <row r="868" spans="2:3" ht="12.75">
      <c r="B868" s="184"/>
      <c r="C868" s="184"/>
    </row>
    <row r="869" spans="2:3" ht="12.75">
      <c r="B869" s="184"/>
      <c r="C869" s="184"/>
    </row>
    <row r="870" spans="2:3" ht="12.75">
      <c r="B870" s="184"/>
      <c r="C870" s="184"/>
    </row>
    <row r="871" spans="2:3" ht="12.75">
      <c r="B871" s="184"/>
      <c r="C871" s="184"/>
    </row>
    <row r="872" spans="2:3" ht="12.75">
      <c r="B872" s="184"/>
      <c r="C872" s="184"/>
    </row>
    <row r="873" spans="2:3" ht="12.75">
      <c r="B873" s="184"/>
      <c r="C873" s="184"/>
    </row>
    <row r="874" spans="2:3" ht="12.75">
      <c r="B874" s="184"/>
      <c r="C874" s="184"/>
    </row>
    <row r="875" spans="2:3" ht="12.75">
      <c r="B875" s="184"/>
      <c r="C875" s="184"/>
    </row>
    <row r="876" spans="2:3" ht="12.75">
      <c r="B876" s="184"/>
      <c r="C876" s="184"/>
    </row>
    <row r="877" spans="2:3" ht="12.75">
      <c r="B877" s="184"/>
      <c r="C877" s="184"/>
    </row>
    <row r="878" spans="2:3" ht="12.75">
      <c r="B878" s="184"/>
      <c r="C878" s="184"/>
    </row>
    <row r="879" spans="2:3" ht="12.75">
      <c r="B879" s="184"/>
      <c r="C879" s="184"/>
    </row>
    <row r="880" spans="2:3" ht="12.75">
      <c r="B880" s="184"/>
      <c r="C880" s="184"/>
    </row>
    <row r="881" spans="2:3" ht="12.75">
      <c r="B881" s="184"/>
      <c r="C881" s="184"/>
    </row>
    <row r="882" spans="2:3" ht="12.75">
      <c r="B882" s="184"/>
      <c r="C882" s="184"/>
    </row>
    <row r="883" spans="2:3" ht="12.75">
      <c r="B883" s="184"/>
      <c r="C883" s="184"/>
    </row>
    <row r="884" spans="2:3" ht="12.75">
      <c r="B884" s="184"/>
      <c r="C884" s="184"/>
    </row>
    <row r="885" spans="2:3" ht="12.75">
      <c r="B885" s="184"/>
      <c r="C885" s="184"/>
    </row>
    <row r="886" spans="2:3" ht="12.75">
      <c r="B886" s="184"/>
      <c r="C886" s="184"/>
    </row>
    <row r="887" spans="2:3" ht="12.75">
      <c r="B887" s="184"/>
      <c r="C887" s="184"/>
    </row>
    <row r="888" spans="2:3" ht="12.75">
      <c r="B888" s="184"/>
      <c r="C888" s="184"/>
    </row>
    <row r="889" spans="2:3" ht="12.75">
      <c r="B889" s="184"/>
      <c r="C889" s="184"/>
    </row>
    <row r="890" spans="2:3" ht="12.75">
      <c r="B890" s="184"/>
      <c r="C890" s="184"/>
    </row>
    <row r="891" spans="2:3" ht="12.75">
      <c r="B891" s="184"/>
      <c r="C891" s="184"/>
    </row>
    <row r="892" spans="2:3" ht="12.75">
      <c r="B892" s="184"/>
      <c r="C892" s="184"/>
    </row>
    <row r="893" spans="2:3" ht="12.75">
      <c r="B893" s="184"/>
      <c r="C893" s="184"/>
    </row>
    <row r="894" spans="2:3" ht="12.75">
      <c r="B894" s="184"/>
      <c r="C894" s="184"/>
    </row>
    <row r="895" spans="2:3" ht="12.75">
      <c r="B895" s="184"/>
      <c r="C895" s="184"/>
    </row>
    <row r="896" spans="2:3" ht="12.75">
      <c r="B896" s="184"/>
      <c r="C896" s="184"/>
    </row>
    <row r="897" spans="2:3" ht="12.75">
      <c r="B897" s="184"/>
      <c r="C897" s="184"/>
    </row>
    <row r="898" spans="2:3" ht="12.75">
      <c r="B898" s="184"/>
      <c r="C898" s="184"/>
    </row>
    <row r="899" spans="2:3" ht="12.75">
      <c r="B899" s="184"/>
      <c r="C899" s="184"/>
    </row>
    <row r="900" spans="2:3" ht="12.75">
      <c r="B900" s="184"/>
      <c r="C900" s="184"/>
    </row>
    <row r="901" spans="2:3" ht="12.75">
      <c r="B901" s="184"/>
      <c r="C901" s="184"/>
    </row>
    <row r="902" spans="2:3" ht="12.75">
      <c r="B902" s="184"/>
      <c r="C902" s="184"/>
    </row>
    <row r="903" spans="2:3" ht="12.75">
      <c r="B903" s="184"/>
      <c r="C903" s="184"/>
    </row>
    <row r="904" spans="2:3" ht="12.75">
      <c r="B904" s="184"/>
      <c r="C904" s="184"/>
    </row>
    <row r="905" spans="2:3" ht="12.75">
      <c r="B905" s="184"/>
      <c r="C905" s="184"/>
    </row>
    <row r="906" spans="2:3" ht="12.75">
      <c r="B906" s="184"/>
      <c r="C906" s="184"/>
    </row>
    <row r="907" spans="2:3" ht="12.75">
      <c r="B907" s="184"/>
      <c r="C907" s="184"/>
    </row>
    <row r="908" spans="2:3" ht="12.75">
      <c r="B908" s="184"/>
      <c r="C908" s="184"/>
    </row>
    <row r="909" spans="2:3" ht="12.75">
      <c r="B909" s="184"/>
      <c r="C909" s="184"/>
    </row>
    <row r="910" spans="2:3" ht="12.75">
      <c r="B910" s="184"/>
      <c r="C910" s="184"/>
    </row>
    <row r="911" spans="2:3" ht="12.75">
      <c r="B911" s="184"/>
      <c r="C911" s="184"/>
    </row>
    <row r="912" spans="2:3" ht="12.75">
      <c r="B912" s="184"/>
      <c r="C912" s="184"/>
    </row>
    <row r="913" spans="2:3" ht="12.75">
      <c r="B913" s="184"/>
      <c r="C913" s="184"/>
    </row>
    <row r="914" spans="2:3" ht="12.75">
      <c r="B914" s="184"/>
      <c r="C914" s="184"/>
    </row>
    <row r="915" spans="2:3" ht="12.75">
      <c r="B915" s="184"/>
      <c r="C915" s="184"/>
    </row>
    <row r="916" spans="2:3" ht="12.75">
      <c r="B916" s="184"/>
      <c r="C916" s="184"/>
    </row>
    <row r="917" spans="2:3" ht="12.75">
      <c r="B917" s="184"/>
      <c r="C917" s="184"/>
    </row>
    <row r="918" spans="2:3" ht="12.75">
      <c r="B918" s="184"/>
      <c r="C918" s="184"/>
    </row>
    <row r="919" spans="2:3" ht="12.75">
      <c r="B919" s="184"/>
      <c r="C919" s="184"/>
    </row>
    <row r="920" spans="2:3" ht="12.75">
      <c r="B920" s="184"/>
      <c r="C920" s="184"/>
    </row>
    <row r="921" spans="2:3" ht="12.75">
      <c r="B921" s="184"/>
      <c r="C921" s="184"/>
    </row>
    <row r="922" spans="2:3" ht="12.75">
      <c r="B922" s="184"/>
      <c r="C922" s="184"/>
    </row>
    <row r="923" spans="2:3" ht="12.75">
      <c r="B923" s="184"/>
      <c r="C923" s="184"/>
    </row>
    <row r="924" spans="2:3" ht="12.75">
      <c r="B924" s="184"/>
      <c r="C924" s="184"/>
    </row>
    <row r="925" spans="2:3" ht="12.75">
      <c r="B925" s="184"/>
      <c r="C925" s="184"/>
    </row>
    <row r="926" spans="2:3" ht="12.75">
      <c r="B926" s="184"/>
      <c r="C926" s="184"/>
    </row>
    <row r="927" spans="2:3" ht="12.75">
      <c r="B927" s="184"/>
      <c r="C927" s="184"/>
    </row>
    <row r="928" spans="2:3" ht="12.75">
      <c r="B928" s="184"/>
      <c r="C928" s="184"/>
    </row>
    <row r="929" spans="2:3" ht="12.75">
      <c r="B929" s="184"/>
      <c r="C929" s="184"/>
    </row>
    <row r="930" spans="2:3" ht="12.75">
      <c r="B930" s="184"/>
      <c r="C930" s="184"/>
    </row>
    <row r="931" spans="2:3" ht="12.75">
      <c r="B931" s="184"/>
      <c r="C931" s="184"/>
    </row>
    <row r="932" spans="2:3" ht="12.75">
      <c r="B932" s="184"/>
      <c r="C932" s="184"/>
    </row>
    <row r="933" spans="2:3" ht="12.75">
      <c r="B933" s="184"/>
      <c r="C933" s="184"/>
    </row>
    <row r="934" spans="2:3" ht="12.75">
      <c r="B934" s="184"/>
      <c r="C934" s="184"/>
    </row>
    <row r="935" spans="2:3" ht="12.75">
      <c r="B935" s="184"/>
      <c r="C935" s="184"/>
    </row>
    <row r="936" spans="2:3" ht="12.75">
      <c r="B936" s="184"/>
      <c r="C936" s="184"/>
    </row>
    <row r="937" spans="2:3" ht="12.75">
      <c r="B937" s="184"/>
      <c r="C937" s="184"/>
    </row>
    <row r="938" spans="2:3" ht="12.75">
      <c r="B938" s="184"/>
      <c r="C938" s="184"/>
    </row>
    <row r="939" spans="2:3" ht="12.75">
      <c r="B939" s="184"/>
      <c r="C939" s="184"/>
    </row>
    <row r="940" spans="2:3" ht="12.75">
      <c r="B940" s="184"/>
      <c r="C940" s="184"/>
    </row>
    <row r="941" spans="2:3" ht="12.75">
      <c r="B941" s="184"/>
      <c r="C941" s="184"/>
    </row>
    <row r="942" spans="2:3" ht="12.75">
      <c r="B942" s="184"/>
      <c r="C942" s="184"/>
    </row>
    <row r="943" spans="2:3" ht="12.75">
      <c r="B943" s="184"/>
      <c r="C943" s="184"/>
    </row>
    <row r="944" spans="2:3" ht="12.75">
      <c r="B944" s="184"/>
      <c r="C944" s="184"/>
    </row>
    <row r="945" spans="2:3" ht="12.75">
      <c r="B945" s="184"/>
      <c r="C945" s="184"/>
    </row>
    <row r="946" spans="2:3" ht="12.75">
      <c r="B946" s="184"/>
      <c r="C946" s="184"/>
    </row>
    <row r="947" spans="2:3" ht="12.75">
      <c r="B947" s="184"/>
      <c r="C947" s="184"/>
    </row>
    <row r="948" spans="2:3" ht="12.75">
      <c r="B948" s="184"/>
      <c r="C948" s="184"/>
    </row>
    <row r="949" spans="2:3" ht="12.75">
      <c r="B949" s="184"/>
      <c r="C949" s="184"/>
    </row>
    <row r="950" spans="2:3" ht="12.75">
      <c r="B950" s="184"/>
      <c r="C950" s="184"/>
    </row>
    <row r="951" spans="2:3" ht="12.75">
      <c r="B951" s="184"/>
      <c r="C951" s="184"/>
    </row>
    <row r="952" spans="2:3" ht="12.75">
      <c r="B952" s="184"/>
      <c r="C952" s="184"/>
    </row>
    <row r="953" spans="2:3" ht="12.75">
      <c r="B953" s="184"/>
      <c r="C953" s="184"/>
    </row>
    <row r="954" spans="2:3" ht="12.75">
      <c r="B954" s="184"/>
      <c r="C954" s="184"/>
    </row>
    <row r="955" spans="2:3" ht="12.75">
      <c r="B955" s="184"/>
      <c r="C955" s="184"/>
    </row>
    <row r="956" spans="2:3" ht="12.75">
      <c r="B956" s="184"/>
      <c r="C956" s="184"/>
    </row>
    <row r="957" spans="2:3" ht="12.75">
      <c r="B957" s="184"/>
      <c r="C957" s="184"/>
    </row>
    <row r="958" spans="2:3" ht="12.75">
      <c r="B958" s="184"/>
      <c r="C958" s="184"/>
    </row>
    <row r="959" spans="2:3" ht="12.75">
      <c r="B959" s="184"/>
      <c r="C959" s="184"/>
    </row>
    <row r="960" spans="2:3" ht="12.75">
      <c r="B960" s="184"/>
      <c r="C960" s="184"/>
    </row>
    <row r="961" spans="2:3" ht="12.75">
      <c r="B961" s="184"/>
      <c r="C961" s="184"/>
    </row>
    <row r="962" spans="2:3" ht="12.75">
      <c r="B962" s="184"/>
      <c r="C962" s="184"/>
    </row>
    <row r="963" spans="2:3" ht="12.75">
      <c r="B963" s="184"/>
      <c r="C963" s="184"/>
    </row>
    <row r="964" spans="2:3" ht="12.75">
      <c r="B964" s="184"/>
      <c r="C964" s="184"/>
    </row>
    <row r="965" spans="2:3" ht="12.75">
      <c r="B965" s="184"/>
      <c r="C965" s="184"/>
    </row>
    <row r="966" spans="2:3" ht="12.75">
      <c r="B966" s="184"/>
      <c r="C966" s="184"/>
    </row>
    <row r="967" spans="2:3" ht="12.75">
      <c r="B967" s="184"/>
      <c r="C967" s="184"/>
    </row>
    <row r="968" spans="2:3" ht="12.75">
      <c r="B968" s="184"/>
      <c r="C968" s="184"/>
    </row>
    <row r="969" spans="2:3" ht="12.75">
      <c r="B969" s="184"/>
      <c r="C969" s="184"/>
    </row>
    <row r="970" spans="2:3" ht="12.75">
      <c r="B970" s="184"/>
      <c r="C970" s="184"/>
    </row>
    <row r="971" spans="2:3" ht="12.75">
      <c r="B971" s="184"/>
      <c r="C971" s="184"/>
    </row>
    <row r="972" spans="2:3" ht="12.75">
      <c r="B972" s="184"/>
      <c r="C972" s="184"/>
    </row>
    <row r="973" spans="2:3" ht="12.75">
      <c r="B973" s="184"/>
      <c r="C973" s="184"/>
    </row>
    <row r="974" spans="2:3" ht="12.75">
      <c r="B974" s="184"/>
      <c r="C974" s="184"/>
    </row>
    <row r="975" spans="2:3" ht="12.75">
      <c r="B975" s="184"/>
      <c r="C975" s="184"/>
    </row>
    <row r="976" spans="2:3" ht="12.75">
      <c r="B976" s="184"/>
      <c r="C976" s="184"/>
    </row>
    <row r="977" spans="2:3" ht="12.75">
      <c r="B977" s="184"/>
      <c r="C977" s="184"/>
    </row>
    <row r="978" spans="2:3" ht="12.75">
      <c r="B978" s="184"/>
      <c r="C978" s="184"/>
    </row>
    <row r="979" spans="2:3" ht="12.75">
      <c r="B979" s="184"/>
      <c r="C979" s="184"/>
    </row>
    <row r="980" spans="2:3" ht="12.75">
      <c r="B980" s="184"/>
      <c r="C980" s="184"/>
    </row>
    <row r="981" spans="2:3" ht="12.75">
      <c r="B981" s="184"/>
      <c r="C981" s="184"/>
    </row>
    <row r="982" spans="2:3" ht="12.75">
      <c r="B982" s="184"/>
      <c r="C982" s="184"/>
    </row>
    <row r="983" spans="2:3" ht="12.75">
      <c r="B983" s="184"/>
      <c r="C983" s="184"/>
    </row>
    <row r="984" spans="2:3" ht="12.75">
      <c r="B984" s="184"/>
      <c r="C984" s="184"/>
    </row>
    <row r="985" spans="2:3" ht="12.75">
      <c r="B985" s="184"/>
      <c r="C985" s="184"/>
    </row>
    <row r="986" spans="2:3" ht="12.75">
      <c r="B986" s="184"/>
      <c r="C986" s="184"/>
    </row>
    <row r="987" spans="2:3" ht="12.75">
      <c r="B987" s="184"/>
      <c r="C987" s="184"/>
    </row>
    <row r="988" spans="2:3" ht="12.75">
      <c r="B988" s="184"/>
      <c r="C988" s="184"/>
    </row>
    <row r="989" spans="2:3" ht="12.75">
      <c r="B989" s="184"/>
      <c r="C989" s="184"/>
    </row>
    <row r="990" spans="2:3" ht="12.75">
      <c r="B990" s="184"/>
      <c r="C990" s="184"/>
    </row>
    <row r="991" spans="2:3" ht="12.75">
      <c r="B991" s="184"/>
      <c r="C991" s="184"/>
    </row>
    <row r="992" spans="2:3" ht="12.75">
      <c r="B992" s="184"/>
      <c r="C992" s="184"/>
    </row>
    <row r="993" spans="2:3" ht="12.75">
      <c r="B993" s="184"/>
      <c r="C993" s="184"/>
    </row>
    <row r="994" spans="2:3" ht="12.75">
      <c r="B994" s="184"/>
      <c r="C994" s="184"/>
    </row>
    <row r="995" spans="2:3" ht="12.75">
      <c r="B995" s="184"/>
      <c r="C995" s="184"/>
    </row>
    <row r="996" spans="2:3" ht="12.75">
      <c r="B996" s="184"/>
      <c r="C996" s="184"/>
    </row>
    <row r="997" spans="2:3" ht="12.75">
      <c r="B997" s="184"/>
      <c r="C997" s="184"/>
    </row>
    <row r="998" spans="2:3" ht="12.75">
      <c r="B998" s="184"/>
      <c r="C998" s="184"/>
    </row>
    <row r="999" spans="2:3" ht="12.75">
      <c r="B999" s="184"/>
      <c r="C999" s="184"/>
    </row>
    <row r="1000" spans="2:3" ht="12.75">
      <c r="B1000" s="184"/>
      <c r="C1000" s="184"/>
    </row>
    <row r="1001" spans="2:3" ht="12.75">
      <c r="B1001" s="184"/>
      <c r="C1001" s="184"/>
    </row>
    <row r="1002" spans="2:3" ht="12.75">
      <c r="B1002" s="184"/>
      <c r="C1002" s="184"/>
    </row>
    <row r="1003" spans="2:3" ht="12.75">
      <c r="B1003" s="184"/>
      <c r="C1003" s="184"/>
    </row>
    <row r="1004" spans="2:3" ht="12.75">
      <c r="B1004" s="184"/>
      <c r="C1004" s="184"/>
    </row>
    <row r="1005" spans="2:3" ht="12.75">
      <c r="B1005" s="184"/>
      <c r="C1005" s="184"/>
    </row>
    <row r="1006" spans="2:3" ht="12.75">
      <c r="B1006" s="184"/>
      <c r="C1006" s="184"/>
    </row>
    <row r="1007" spans="2:3" ht="12.75">
      <c r="B1007" s="184"/>
      <c r="C1007" s="184"/>
    </row>
    <row r="1008" spans="2:3" ht="12.75">
      <c r="B1008" s="184"/>
      <c r="C1008" s="184"/>
    </row>
    <row r="1009" spans="2:3" ht="12.75">
      <c r="B1009" s="184"/>
      <c r="C1009" s="184"/>
    </row>
    <row r="1010" spans="2:3" ht="12.75">
      <c r="B1010" s="184"/>
      <c r="C1010" s="184"/>
    </row>
    <row r="1011" spans="2:3" ht="12.75">
      <c r="B1011" s="184"/>
      <c r="C1011" s="184"/>
    </row>
    <row r="1012" spans="2:3" ht="12.75">
      <c r="B1012" s="184"/>
      <c r="C1012" s="184"/>
    </row>
    <row r="1013" spans="2:3" ht="12.75">
      <c r="B1013" s="184"/>
      <c r="C1013" s="184"/>
    </row>
    <row r="1014" spans="2:3" ht="12.75">
      <c r="B1014" s="184"/>
      <c r="C1014" s="184"/>
    </row>
    <row r="1015" spans="2:3" ht="12.75">
      <c r="B1015" s="184"/>
      <c r="C1015" s="184"/>
    </row>
    <row r="1016" spans="2:3" ht="12.75">
      <c r="B1016" s="184"/>
      <c r="C1016" s="184"/>
    </row>
    <row r="1017" spans="2:3" ht="12.75">
      <c r="B1017" s="184"/>
      <c r="C1017" s="184"/>
    </row>
    <row r="1018" spans="2:3" ht="12.75">
      <c r="B1018" s="184"/>
      <c r="C1018" s="184"/>
    </row>
    <row r="1019" spans="2:3" ht="12.75">
      <c r="B1019" s="184"/>
      <c r="C1019" s="184"/>
    </row>
    <row r="1020" spans="2:3" ht="12.75">
      <c r="B1020" s="184"/>
      <c r="C1020" s="184"/>
    </row>
    <row r="1021" spans="2:3" ht="12.75">
      <c r="B1021" s="184"/>
      <c r="C1021" s="184"/>
    </row>
    <row r="1022" spans="2:3" ht="12.75">
      <c r="B1022" s="184"/>
      <c r="C1022" s="184"/>
    </row>
    <row r="1023" spans="2:3" ht="12.75">
      <c r="B1023" s="184"/>
      <c r="C1023" s="184"/>
    </row>
    <row r="1024" spans="2:3" ht="12.75">
      <c r="B1024" s="184"/>
      <c r="C1024" s="184"/>
    </row>
    <row r="1025" spans="2:3" ht="12.75">
      <c r="B1025" s="184"/>
      <c r="C1025" s="184"/>
    </row>
    <row r="1026" spans="2:3" ht="12.75">
      <c r="B1026" s="184"/>
      <c r="C1026" s="184"/>
    </row>
    <row r="1027" spans="2:3" ht="12.75">
      <c r="B1027" s="184"/>
      <c r="C1027" s="184"/>
    </row>
    <row r="1028" spans="2:3" ht="12.75">
      <c r="B1028" s="184"/>
      <c r="C1028" s="184"/>
    </row>
    <row r="1029" spans="2:3" ht="12.75">
      <c r="B1029" s="184"/>
      <c r="C1029" s="184"/>
    </row>
    <row r="1030" spans="2:3" ht="12.75">
      <c r="B1030" s="184"/>
      <c r="C1030" s="184"/>
    </row>
    <row r="1031" spans="2:3" ht="12.75">
      <c r="B1031" s="184"/>
      <c r="C1031" s="184"/>
    </row>
    <row r="1032" spans="2:3" ht="12.75">
      <c r="B1032" s="184"/>
      <c r="C1032" s="184"/>
    </row>
    <row r="1033" spans="2:3" ht="12.75">
      <c r="B1033" s="184"/>
      <c r="C1033" s="184"/>
    </row>
    <row r="1034" spans="2:3" ht="12.75">
      <c r="B1034" s="184"/>
      <c r="C1034" s="184"/>
    </row>
    <row r="1035" spans="2:3" ht="12.75">
      <c r="B1035" s="184"/>
      <c r="C1035" s="184"/>
    </row>
    <row r="1036" spans="2:3" ht="12.75">
      <c r="B1036" s="184"/>
      <c r="C1036" s="184"/>
    </row>
    <row r="1037" spans="2:3" ht="12.75">
      <c r="B1037" s="184"/>
      <c r="C1037" s="184"/>
    </row>
    <row r="1038" spans="2:3" ht="12.75">
      <c r="B1038" s="184"/>
      <c r="C1038" s="184"/>
    </row>
    <row r="1039" spans="2:3" ht="12.75">
      <c r="B1039" s="184"/>
      <c r="C1039" s="184"/>
    </row>
    <row r="1040" spans="2:3" ht="12.75">
      <c r="B1040" s="184"/>
      <c r="C1040" s="184"/>
    </row>
    <row r="1041" spans="2:3" ht="12.75">
      <c r="B1041" s="184"/>
      <c r="C1041" s="184"/>
    </row>
    <row r="1042" spans="2:3" ht="12.75">
      <c r="B1042" s="184"/>
      <c r="C1042" s="184"/>
    </row>
    <row r="1043" spans="2:3" ht="12.75">
      <c r="B1043" s="184"/>
      <c r="C1043" s="184"/>
    </row>
    <row r="1044" spans="2:3" ht="12.75">
      <c r="B1044" s="184"/>
      <c r="C1044" s="184"/>
    </row>
    <row r="1045" spans="2:3" ht="12.75">
      <c r="B1045" s="184"/>
      <c r="C1045" s="184"/>
    </row>
    <row r="1046" spans="2:3" ht="12.75">
      <c r="B1046" s="184"/>
      <c r="C1046" s="184"/>
    </row>
    <row r="1047" spans="2:3" ht="12.75">
      <c r="B1047" s="184"/>
      <c r="C1047" s="184"/>
    </row>
    <row r="1048" spans="2:3" ht="12.75">
      <c r="B1048" s="184"/>
      <c r="C1048" s="184"/>
    </row>
    <row r="1049" spans="2:3" ht="12.75">
      <c r="B1049" s="184"/>
      <c r="C1049" s="184"/>
    </row>
    <row r="1050" spans="2:3" ht="12.75">
      <c r="B1050" s="184"/>
      <c r="C1050" s="184"/>
    </row>
    <row r="1051" spans="2:3" ht="12.75">
      <c r="B1051" s="184"/>
      <c r="C1051" s="184"/>
    </row>
    <row r="1052" spans="2:3" ht="12.75">
      <c r="B1052" s="184"/>
      <c r="C1052" s="184"/>
    </row>
    <row r="1053" spans="2:3" ht="12.75">
      <c r="B1053" s="184"/>
      <c r="C1053" s="184"/>
    </row>
    <row r="1054" spans="2:3" ht="12.75">
      <c r="B1054" s="184"/>
      <c r="C1054" s="184"/>
    </row>
    <row r="1055" spans="2:3" ht="12.75">
      <c r="B1055" s="184"/>
      <c r="C1055" s="184"/>
    </row>
    <row r="1056" spans="2:3" ht="12.75">
      <c r="B1056" s="184"/>
      <c r="C1056" s="184"/>
    </row>
    <row r="1057" spans="2:3" ht="12.75">
      <c r="B1057" s="184"/>
      <c r="C1057" s="184"/>
    </row>
    <row r="1058" spans="2:3" ht="12.75">
      <c r="B1058" s="184"/>
      <c r="C1058" s="184"/>
    </row>
    <row r="1059" spans="2:3" ht="12.75">
      <c r="B1059" s="184"/>
      <c r="C1059" s="184"/>
    </row>
    <row r="1060" spans="2:3" ht="12.75">
      <c r="B1060" s="184"/>
      <c r="C1060" s="184"/>
    </row>
    <row r="1061" spans="2:3" ht="12.75">
      <c r="B1061" s="184"/>
      <c r="C1061" s="184"/>
    </row>
    <row r="1062" spans="2:3" ht="12.75">
      <c r="B1062" s="184"/>
      <c r="C1062" s="184"/>
    </row>
    <row r="1063" spans="2:3" ht="12.75">
      <c r="B1063" s="184"/>
      <c r="C1063" s="184"/>
    </row>
    <row r="1064" spans="2:3" ht="12.75">
      <c r="B1064" s="184"/>
      <c r="C1064" s="184"/>
    </row>
    <row r="1065" spans="2:3" ht="12.75">
      <c r="B1065" s="184"/>
      <c r="C1065" s="184"/>
    </row>
    <row r="1066" spans="2:3" ht="12.75">
      <c r="B1066" s="184"/>
      <c r="C1066" s="184"/>
    </row>
    <row r="1067" spans="2:3" ht="12.75">
      <c r="B1067" s="184"/>
      <c r="C1067" s="184"/>
    </row>
    <row r="1068" spans="2:3" ht="12.75">
      <c r="B1068" s="184"/>
      <c r="C1068" s="184"/>
    </row>
    <row r="1069" spans="2:3" ht="12.75">
      <c r="B1069" s="184"/>
      <c r="C1069" s="184"/>
    </row>
    <row r="1070" spans="2:3" ht="12.75">
      <c r="B1070" s="184"/>
      <c r="C1070" s="184"/>
    </row>
    <row r="1071" spans="2:3" ht="12.75">
      <c r="B1071" s="184"/>
      <c r="C1071" s="184"/>
    </row>
    <row r="1072" spans="2:3" ht="12.75">
      <c r="B1072" s="184"/>
      <c r="C1072" s="184"/>
    </row>
    <row r="1073" spans="2:3" ht="12.75">
      <c r="B1073" s="184"/>
      <c r="C1073" s="184"/>
    </row>
    <row r="1074" spans="2:3" ht="12.75">
      <c r="B1074" s="184"/>
      <c r="C1074" s="184"/>
    </row>
    <row r="1075" spans="2:3" ht="12.75">
      <c r="B1075" s="184"/>
      <c r="C1075" s="184"/>
    </row>
    <row r="1076" spans="2:3" ht="12.75">
      <c r="B1076" s="184"/>
      <c r="C1076" s="184"/>
    </row>
    <row r="1077" spans="2:3" ht="12.75">
      <c r="B1077" s="184"/>
      <c r="C1077" s="184"/>
    </row>
    <row r="1078" spans="2:3" ht="12.75">
      <c r="B1078" s="184"/>
      <c r="C1078" s="184"/>
    </row>
    <row r="1079" spans="2:3" ht="12.75">
      <c r="B1079" s="184"/>
      <c r="C1079" s="184"/>
    </row>
    <row r="1080" spans="2:3" ht="12.75">
      <c r="B1080" s="184"/>
      <c r="C1080" s="184"/>
    </row>
    <row r="1081" spans="2:3" ht="12.75">
      <c r="B1081" s="184"/>
      <c r="C1081" s="184"/>
    </row>
    <row r="1082" spans="2:3" ht="12.75">
      <c r="B1082" s="184"/>
      <c r="C1082" s="184"/>
    </row>
    <row r="1083" spans="2:3" ht="12.75">
      <c r="B1083" s="184"/>
      <c r="C1083" s="184"/>
    </row>
    <row r="1084" spans="2:3" ht="12.75">
      <c r="B1084" s="184"/>
      <c r="C1084" s="184"/>
    </row>
    <row r="1085" spans="2:3" ht="12.75">
      <c r="B1085" s="184"/>
      <c r="C1085" s="184"/>
    </row>
    <row r="1086" spans="2:3" ht="12.75">
      <c r="B1086" s="184"/>
      <c r="C1086" s="184"/>
    </row>
    <row r="1087" spans="2:3" ht="12.75">
      <c r="B1087" s="184"/>
      <c r="C1087" s="184"/>
    </row>
    <row r="1088" spans="2:3" ht="12.75">
      <c r="B1088" s="184"/>
      <c r="C1088" s="184"/>
    </row>
    <row r="1089" spans="2:3" ht="12.75">
      <c r="B1089" s="184"/>
      <c r="C1089" s="184"/>
    </row>
    <row r="1090" spans="2:3" ht="12.75">
      <c r="B1090" s="184"/>
      <c r="C1090" s="184"/>
    </row>
    <row r="1091" spans="2:3" ht="12.75">
      <c r="B1091" s="184"/>
      <c r="C1091" s="184"/>
    </row>
    <row r="1092" spans="2:3" ht="12.75">
      <c r="B1092" s="184"/>
      <c r="C1092" s="184"/>
    </row>
    <row r="1093" spans="2:3" ht="12.75">
      <c r="B1093" s="184"/>
      <c r="C1093" s="184"/>
    </row>
    <row r="1094" spans="2:3" ht="12.75">
      <c r="B1094" s="184"/>
      <c r="C1094" s="184"/>
    </row>
    <row r="1095" spans="2:3" ht="12.75">
      <c r="B1095" s="184"/>
      <c r="C1095" s="184"/>
    </row>
    <row r="1096" spans="2:3" ht="12.75">
      <c r="B1096" s="184"/>
      <c r="C1096" s="184"/>
    </row>
    <row r="1097" spans="2:3" ht="12.75">
      <c r="B1097" s="184"/>
      <c r="C1097" s="184"/>
    </row>
    <row r="1098" spans="2:3" ht="12.75">
      <c r="B1098" s="184"/>
      <c r="C1098" s="184"/>
    </row>
    <row r="1099" spans="2:3" ht="12.75">
      <c r="B1099" s="184"/>
      <c r="C1099" s="184"/>
    </row>
    <row r="1100" spans="2:3" ht="12.75">
      <c r="B1100" s="184"/>
      <c r="C1100" s="184"/>
    </row>
    <row r="1101" spans="2:3" ht="12.75">
      <c r="B1101" s="184"/>
      <c r="C1101" s="184"/>
    </row>
    <row r="1102" spans="2:3" ht="12.75">
      <c r="B1102" s="184"/>
      <c r="C1102" s="184"/>
    </row>
    <row r="1103" spans="2:3" ht="12.75">
      <c r="B1103" s="184"/>
      <c r="C1103" s="184"/>
    </row>
    <row r="1104" spans="2:3" ht="12.75">
      <c r="B1104" s="184"/>
      <c r="C1104" s="184"/>
    </row>
    <row r="1105" spans="2:3" ht="12.75">
      <c r="B1105" s="184"/>
      <c r="C1105" s="184"/>
    </row>
    <row r="1106" spans="2:3" ht="12.75">
      <c r="B1106" s="184"/>
      <c r="C1106" s="184"/>
    </row>
    <row r="1107" spans="2:3" ht="12.75">
      <c r="B1107" s="184"/>
      <c r="C1107" s="184"/>
    </row>
    <row r="1108" spans="2:3" ht="12.75">
      <c r="B1108" s="184"/>
      <c r="C1108" s="184"/>
    </row>
    <row r="1109" spans="2:3" ht="12.75">
      <c r="B1109" s="184"/>
      <c r="C1109" s="184"/>
    </row>
    <row r="1110" spans="2:3" ht="12.75">
      <c r="B1110" s="184"/>
      <c r="C1110" s="184"/>
    </row>
    <row r="1111" spans="2:3" ht="12.75">
      <c r="B1111" s="184"/>
      <c r="C1111" s="184"/>
    </row>
    <row r="1112" spans="2:3" ht="12.75">
      <c r="B1112" s="184"/>
      <c r="C1112" s="184"/>
    </row>
    <row r="1113" spans="2:3" ht="12.75">
      <c r="B1113" s="184"/>
      <c r="C1113" s="184"/>
    </row>
    <row r="1114" spans="2:3" ht="12.75">
      <c r="B1114" s="184"/>
      <c r="C1114" s="184"/>
    </row>
    <row r="1115" spans="2:3" ht="12.75">
      <c r="B1115" s="184"/>
      <c r="C1115" s="184"/>
    </row>
    <row r="1116" spans="2:3" ht="12.75">
      <c r="B1116" s="184"/>
      <c r="C1116" s="184"/>
    </row>
    <row r="1117" spans="2:3" ht="12.75">
      <c r="B1117" s="184"/>
      <c r="C1117" s="184"/>
    </row>
    <row r="1118" spans="2:3" ht="12.75">
      <c r="B1118" s="184"/>
      <c r="C1118" s="184"/>
    </row>
    <row r="1119" spans="2:3" ht="12.75">
      <c r="B1119" s="184"/>
      <c r="C1119" s="184"/>
    </row>
    <row r="1120" spans="2:3" ht="12.75">
      <c r="B1120" s="184"/>
      <c r="C1120" s="184"/>
    </row>
    <row r="1121" spans="2:3" ht="12.75">
      <c r="B1121" s="184"/>
      <c r="C1121" s="184"/>
    </row>
    <row r="1122" spans="2:3" ht="12.75">
      <c r="B1122" s="184"/>
      <c r="C1122" s="184"/>
    </row>
    <row r="1123" spans="2:3" ht="12.75">
      <c r="B1123" s="184"/>
      <c r="C1123" s="184"/>
    </row>
    <row r="1124" spans="2:3" ht="12.75">
      <c r="B1124" s="184"/>
      <c r="C1124" s="184"/>
    </row>
    <row r="1125" spans="2:3" ht="12.75">
      <c r="B1125" s="184"/>
      <c r="C1125" s="184"/>
    </row>
    <row r="1126" spans="2:3" ht="12.75">
      <c r="B1126" s="184"/>
      <c r="C1126" s="184"/>
    </row>
    <row r="1127" spans="2:3" ht="12.75">
      <c r="B1127" s="184"/>
      <c r="C1127" s="184"/>
    </row>
    <row r="1128" spans="2:3" ht="12.75">
      <c r="B1128" s="184"/>
      <c r="C1128" s="184"/>
    </row>
    <row r="1129" spans="2:3" ht="12.75">
      <c r="B1129" s="184"/>
      <c r="C1129" s="184"/>
    </row>
    <row r="1130" spans="2:3" ht="12.75">
      <c r="B1130" s="184"/>
      <c r="C1130" s="184"/>
    </row>
    <row r="1131" spans="2:3" ht="12.75">
      <c r="B1131" s="184"/>
      <c r="C1131" s="184"/>
    </row>
    <row r="1132" spans="2:3" ht="12.75">
      <c r="B1132" s="184"/>
      <c r="C1132" s="184"/>
    </row>
    <row r="1133" spans="2:3" ht="12.75">
      <c r="B1133" s="184"/>
      <c r="C1133" s="184"/>
    </row>
    <row r="1134" spans="2:3" ht="12.75">
      <c r="B1134" s="184"/>
      <c r="C1134" s="184"/>
    </row>
    <row r="1135" spans="2:3" ht="12.75">
      <c r="B1135" s="184"/>
      <c r="C1135" s="184"/>
    </row>
    <row r="1136" spans="2:3" ht="12.75">
      <c r="B1136" s="184"/>
      <c r="C1136" s="184"/>
    </row>
    <row r="1137" spans="2:3" ht="12.75">
      <c r="B1137" s="184"/>
      <c r="C1137" s="184"/>
    </row>
    <row r="1138" spans="2:3" ht="12.75">
      <c r="B1138" s="184"/>
      <c r="C1138" s="184"/>
    </row>
    <row r="1139" spans="2:3" ht="12.75">
      <c r="B1139" s="184"/>
      <c r="C1139" s="184"/>
    </row>
    <row r="1140" spans="2:3" ht="12.75">
      <c r="B1140" s="184"/>
      <c r="C1140" s="184"/>
    </row>
    <row r="1141" spans="2:3" ht="12.75">
      <c r="B1141" s="184"/>
      <c r="C1141" s="184"/>
    </row>
    <row r="1142" spans="2:3" ht="12.75">
      <c r="B1142" s="184"/>
      <c r="C1142" s="184"/>
    </row>
    <row r="1143" spans="2:3" ht="12.75">
      <c r="B1143" s="184"/>
      <c r="C1143" s="184"/>
    </row>
    <row r="1144" spans="2:3" ht="12.75">
      <c r="B1144" s="184"/>
      <c r="C1144" s="184"/>
    </row>
    <row r="1145" spans="2:3" ht="12.75">
      <c r="B1145" s="184"/>
      <c r="C1145" s="184"/>
    </row>
    <row r="1146" spans="2:3" ht="12.75">
      <c r="B1146" s="184"/>
      <c r="C1146" s="184"/>
    </row>
    <row r="1147" spans="2:3" ht="12.75">
      <c r="B1147" s="184"/>
      <c r="C1147" s="184"/>
    </row>
    <row r="1148" spans="2:3" ht="12.75">
      <c r="B1148" s="184"/>
      <c r="C1148" s="184"/>
    </row>
    <row r="1149" spans="2:3" ht="12.75">
      <c r="B1149" s="184"/>
      <c r="C1149" s="184"/>
    </row>
    <row r="1150" spans="2:3" ht="12.75">
      <c r="B1150" s="184"/>
      <c r="C1150" s="184"/>
    </row>
    <row r="1151" spans="2:3" ht="12.75">
      <c r="B1151" s="184"/>
      <c r="C1151" s="184"/>
    </row>
    <row r="1152" spans="2:3" ht="12.75">
      <c r="B1152" s="184"/>
      <c r="C1152" s="184"/>
    </row>
    <row r="1153" spans="2:3" ht="12.75">
      <c r="B1153" s="184"/>
      <c r="C1153" s="184"/>
    </row>
    <row r="1154" spans="2:3" ht="12.75">
      <c r="B1154" s="184"/>
      <c r="C1154" s="184"/>
    </row>
    <row r="1155" spans="2:3" ht="12.75">
      <c r="B1155" s="184"/>
      <c r="C1155" s="184"/>
    </row>
    <row r="1156" spans="2:3" ht="12.75">
      <c r="B1156" s="184"/>
      <c r="C1156" s="184"/>
    </row>
    <row r="1157" spans="2:3" ht="12.75">
      <c r="B1157" s="184"/>
      <c r="C1157" s="184"/>
    </row>
    <row r="1158" spans="2:3" ht="12.75">
      <c r="B1158" s="184"/>
      <c r="C1158" s="184"/>
    </row>
    <row r="1159" spans="2:3" ht="12.75">
      <c r="B1159" s="184"/>
      <c r="C1159" s="184"/>
    </row>
    <row r="1160" spans="2:3" ht="12.75">
      <c r="B1160" s="184"/>
      <c r="C1160" s="184"/>
    </row>
    <row r="1161" spans="2:3" ht="12.75">
      <c r="B1161" s="184"/>
      <c r="C1161" s="184"/>
    </row>
    <row r="1162" spans="2:3" ht="12.75">
      <c r="B1162" s="184"/>
      <c r="C1162" s="184"/>
    </row>
    <row r="1163" spans="2:3" ht="12.75">
      <c r="B1163" s="184"/>
      <c r="C1163" s="184"/>
    </row>
    <row r="1164" spans="2:3" ht="12.75">
      <c r="B1164" s="184"/>
      <c r="C1164" s="184"/>
    </row>
    <row r="1165" spans="2:3" ht="12.75">
      <c r="B1165" s="184"/>
      <c r="C1165" s="184"/>
    </row>
    <row r="1166" spans="2:3" ht="12.75">
      <c r="B1166" s="184"/>
      <c r="C1166" s="184"/>
    </row>
    <row r="1167" spans="2:3" ht="12.75">
      <c r="B1167" s="184"/>
      <c r="C1167" s="184"/>
    </row>
    <row r="1168" spans="2:3" ht="12.75">
      <c r="B1168" s="184"/>
      <c r="C1168" s="184"/>
    </row>
    <row r="1169" spans="2:3" ht="12.75">
      <c r="B1169" s="184"/>
      <c r="C1169" s="184"/>
    </row>
    <row r="1170" spans="2:3" ht="12.75">
      <c r="B1170" s="184"/>
      <c r="C1170" s="184"/>
    </row>
    <row r="1171" spans="2:3" ht="12.75">
      <c r="B1171" s="184"/>
      <c r="C1171" s="184"/>
    </row>
    <row r="1172" spans="2:3" ht="12.75">
      <c r="B1172" s="184"/>
      <c r="C1172" s="184"/>
    </row>
    <row r="1173" spans="2:3" ht="12.75">
      <c r="B1173" s="184"/>
      <c r="C1173" s="184"/>
    </row>
    <row r="1174" spans="2:3" ht="12.75">
      <c r="B1174" s="184"/>
      <c r="C1174" s="184"/>
    </row>
    <row r="1175" spans="2:3" ht="12.75">
      <c r="B1175" s="184"/>
      <c r="C1175" s="184"/>
    </row>
    <row r="1176" spans="2:3" ht="12.75">
      <c r="B1176" s="184"/>
      <c r="C1176" s="184"/>
    </row>
    <row r="1177" spans="2:3" ht="12.75">
      <c r="B1177" s="184"/>
      <c r="C1177" s="184"/>
    </row>
    <row r="1178" spans="2:3" ht="12.75">
      <c r="B1178" s="184"/>
      <c r="C1178" s="184"/>
    </row>
    <row r="1179" spans="2:3" ht="12.75">
      <c r="B1179" s="184"/>
      <c r="C1179" s="184"/>
    </row>
    <row r="1180" spans="2:3" ht="12.75">
      <c r="B1180" s="184"/>
      <c r="C1180" s="184"/>
    </row>
    <row r="1181" spans="2:3" ht="12.75">
      <c r="B1181" s="184"/>
      <c r="C1181" s="184"/>
    </row>
    <row r="1182" spans="2:3" ht="12.75">
      <c r="B1182" s="184"/>
      <c r="C1182" s="184"/>
    </row>
    <row r="1183" spans="2:3" ht="12.75">
      <c r="B1183" s="184"/>
      <c r="C1183" s="184"/>
    </row>
    <row r="1184" spans="2:3" ht="12.75">
      <c r="B1184" s="184"/>
      <c r="C1184" s="184"/>
    </row>
    <row r="1185" spans="2:3" ht="12.75">
      <c r="B1185" s="184"/>
      <c r="C1185" s="184"/>
    </row>
    <row r="1186" spans="2:3" ht="12.75">
      <c r="B1186" s="184"/>
      <c r="C1186" s="184"/>
    </row>
    <row r="1187" spans="2:3" ht="12.75">
      <c r="B1187" s="184"/>
      <c r="C1187" s="184"/>
    </row>
    <row r="1188" spans="2:3" ht="12.75">
      <c r="B1188" s="184"/>
      <c r="C1188" s="184"/>
    </row>
    <row r="1189" spans="2:3" ht="12.75">
      <c r="B1189" s="184"/>
      <c r="C1189" s="184"/>
    </row>
    <row r="1190" spans="2:3" ht="12.75">
      <c r="B1190" s="184"/>
      <c r="C1190" s="184"/>
    </row>
    <row r="1191" spans="2:3" ht="12.75">
      <c r="B1191" s="184"/>
      <c r="C1191" s="184"/>
    </row>
    <row r="1192" spans="2:3" ht="12.75">
      <c r="B1192" s="184"/>
      <c r="C1192" s="184"/>
    </row>
    <row r="1193" spans="2:3" ht="12.75">
      <c r="B1193" s="184"/>
      <c r="C1193" s="184"/>
    </row>
    <row r="1194" spans="2:3" ht="12.75">
      <c r="B1194" s="184"/>
      <c r="C1194" s="184"/>
    </row>
    <row r="1195" spans="2:3" ht="12.75">
      <c r="B1195" s="184"/>
      <c r="C1195" s="184"/>
    </row>
    <row r="1196" spans="2:3" ht="12.75">
      <c r="B1196" s="184"/>
      <c r="C1196" s="184"/>
    </row>
    <row r="1197" spans="2:3" ht="12.75">
      <c r="B1197" s="184"/>
      <c r="C1197" s="184"/>
    </row>
    <row r="1198" spans="2:3" ht="12.75">
      <c r="B1198" s="184"/>
      <c r="C1198" s="184"/>
    </row>
    <row r="1199" spans="2:3" ht="12.75">
      <c r="B1199" s="184"/>
      <c r="C1199" s="184"/>
    </row>
    <row r="1200" spans="2:3" ht="12.75">
      <c r="B1200" s="184"/>
      <c r="C1200" s="184"/>
    </row>
    <row r="1201" spans="2:3" ht="12.75">
      <c r="B1201" s="184"/>
      <c r="C1201" s="184"/>
    </row>
    <row r="1202" spans="2:3" ht="12.75">
      <c r="B1202" s="184"/>
      <c r="C1202" s="184"/>
    </row>
    <row r="1203" spans="2:3" ht="12.75">
      <c r="B1203" s="184"/>
      <c r="C1203" s="184"/>
    </row>
    <row r="1204" spans="2:3" ht="12.75">
      <c r="B1204" s="184"/>
      <c r="C1204" s="184"/>
    </row>
    <row r="1205" spans="2:3" ht="12.75">
      <c r="B1205" s="184"/>
      <c r="C1205" s="184"/>
    </row>
    <row r="1206" spans="2:3" ht="12.75">
      <c r="B1206" s="184"/>
      <c r="C1206" s="184"/>
    </row>
    <row r="1207" spans="2:3" ht="12.75">
      <c r="B1207" s="184"/>
      <c r="C1207" s="184"/>
    </row>
    <row r="1208" spans="2:3" ht="12.75">
      <c r="B1208" s="184"/>
      <c r="C1208" s="184"/>
    </row>
    <row r="1209" spans="2:3" ht="12.75">
      <c r="B1209" s="184"/>
      <c r="C1209" s="184"/>
    </row>
    <row r="1210" spans="2:3" ht="12.75">
      <c r="B1210" s="184"/>
      <c r="C1210" s="184"/>
    </row>
    <row r="1211" spans="2:3" ht="12.75">
      <c r="B1211" s="184"/>
      <c r="C1211" s="184"/>
    </row>
    <row r="1212" spans="2:3" ht="12.75">
      <c r="B1212" s="184"/>
      <c r="C1212" s="184"/>
    </row>
    <row r="1213" spans="2:3" ht="12.75">
      <c r="B1213" s="184"/>
      <c r="C1213" s="184"/>
    </row>
    <row r="1214" spans="2:3" ht="12.75">
      <c r="B1214" s="184"/>
      <c r="C1214" s="184"/>
    </row>
    <row r="1215" spans="2:3" ht="12.75">
      <c r="B1215" s="184"/>
      <c r="C1215" s="184"/>
    </row>
    <row r="1216" spans="2:3" ht="12.75">
      <c r="B1216" s="184"/>
      <c r="C1216" s="184"/>
    </row>
    <row r="1217" spans="2:3" ht="12.75">
      <c r="B1217" s="184"/>
      <c r="C1217" s="184"/>
    </row>
    <row r="1218" spans="2:3" ht="12.75">
      <c r="B1218" s="184"/>
      <c r="C1218" s="184"/>
    </row>
    <row r="1219" spans="2:3" ht="12.75">
      <c r="B1219" s="184"/>
      <c r="C1219" s="184"/>
    </row>
    <row r="1220" spans="2:3" ht="12.75">
      <c r="B1220" s="184"/>
      <c r="C1220" s="184"/>
    </row>
    <row r="1221" spans="2:3" ht="12.75">
      <c r="B1221" s="184"/>
      <c r="C1221" s="184"/>
    </row>
    <row r="1222" spans="2:3" ht="12.75">
      <c r="B1222" s="184"/>
      <c r="C1222" s="184"/>
    </row>
    <row r="1223" spans="2:3" ht="12.75">
      <c r="B1223" s="184"/>
      <c r="C1223" s="184"/>
    </row>
    <row r="1224" spans="2:3" ht="12.75">
      <c r="B1224" s="184"/>
      <c r="C1224" s="184"/>
    </row>
    <row r="1225" spans="2:3" ht="12.75">
      <c r="B1225" s="184"/>
      <c r="C1225" s="184"/>
    </row>
    <row r="1226" spans="2:3" ht="12.75">
      <c r="B1226" s="184"/>
      <c r="C1226" s="184"/>
    </row>
    <row r="1227" spans="2:3" ht="12.75">
      <c r="B1227" s="184"/>
      <c r="C1227" s="184"/>
    </row>
    <row r="1228" spans="2:3" ht="12.75">
      <c r="B1228" s="184"/>
      <c r="C1228" s="184"/>
    </row>
    <row r="1229" spans="2:3" ht="12.75">
      <c r="B1229" s="184"/>
      <c r="C1229" s="184"/>
    </row>
    <row r="1230" spans="2:3" ht="12.75">
      <c r="B1230" s="184"/>
      <c r="C1230" s="184"/>
    </row>
    <row r="1231" spans="2:3" ht="12.75">
      <c r="B1231" s="184"/>
      <c r="C1231" s="184"/>
    </row>
    <row r="1232" spans="2:3" ht="12.75">
      <c r="B1232" s="184"/>
      <c r="C1232" s="184"/>
    </row>
    <row r="1233" spans="2:3" ht="12.75">
      <c r="B1233" s="184"/>
      <c r="C1233" s="184"/>
    </row>
    <row r="1234" spans="2:3" ht="12.75">
      <c r="B1234" s="184"/>
      <c r="C1234" s="184"/>
    </row>
    <row r="1235" spans="2:3" ht="12.75">
      <c r="B1235" s="184"/>
      <c r="C1235" s="184"/>
    </row>
    <row r="1236" spans="2:3" ht="12.75">
      <c r="B1236" s="184"/>
      <c r="C1236" s="184"/>
    </row>
    <row r="1237" spans="2:3" ht="12.75">
      <c r="B1237" s="184"/>
      <c r="C1237" s="184"/>
    </row>
    <row r="1238" spans="2:3" ht="12.75">
      <c r="B1238" s="184"/>
      <c r="C1238" s="184"/>
    </row>
    <row r="1239" spans="2:3" ht="12.75">
      <c r="B1239" s="184"/>
      <c r="C1239" s="184"/>
    </row>
    <row r="1240" spans="2:3" ht="12.75">
      <c r="B1240" s="184"/>
      <c r="C1240" s="184"/>
    </row>
    <row r="1241" spans="2:3" ht="12.75">
      <c r="B1241" s="184"/>
      <c r="C1241" s="184"/>
    </row>
    <row r="1242" spans="2:3" ht="12.75">
      <c r="B1242" s="184"/>
      <c r="C1242" s="184"/>
    </row>
    <row r="1243" spans="2:3" ht="12.75">
      <c r="B1243" s="184"/>
      <c r="C1243" s="184"/>
    </row>
    <row r="1244" spans="2:3" ht="12.75">
      <c r="B1244" s="184"/>
      <c r="C1244" s="184"/>
    </row>
    <row r="1245" spans="2:3" ht="12.75">
      <c r="B1245" s="184"/>
      <c r="C1245" s="184"/>
    </row>
    <row r="1246" spans="2:3" ht="12.75">
      <c r="B1246" s="184"/>
      <c r="C1246" s="184"/>
    </row>
    <row r="1247" spans="2:3" ht="12.75">
      <c r="B1247" s="184"/>
      <c r="C1247" s="184"/>
    </row>
    <row r="1248" spans="2:3" ht="12.75">
      <c r="B1248" s="184"/>
      <c r="C1248" s="184"/>
    </row>
    <row r="1249" spans="2:3" ht="12.75">
      <c r="B1249" s="184"/>
      <c r="C1249" s="184"/>
    </row>
    <row r="1250" spans="2:3" ht="12.75">
      <c r="B1250" s="184"/>
      <c r="C1250" s="184"/>
    </row>
    <row r="1251" spans="2:3" ht="12.75">
      <c r="B1251" s="184"/>
      <c r="C1251" s="184"/>
    </row>
    <row r="1252" spans="2:3" ht="12.75">
      <c r="B1252" s="184"/>
      <c r="C1252" s="184"/>
    </row>
    <row r="1253" spans="2:3" ht="12.75">
      <c r="B1253" s="184"/>
      <c r="C1253" s="184"/>
    </row>
    <row r="1254" spans="2:3" ht="12.75">
      <c r="B1254" s="184"/>
      <c r="C1254" s="184"/>
    </row>
    <row r="1255" spans="2:3" ht="12.75">
      <c r="B1255" s="184"/>
      <c r="C1255" s="184"/>
    </row>
    <row r="1256" spans="2:3" ht="12.75">
      <c r="B1256" s="184"/>
      <c r="C1256" s="184"/>
    </row>
    <row r="1257" spans="2:3" ht="12.75">
      <c r="B1257" s="184"/>
      <c r="C1257" s="184"/>
    </row>
    <row r="1258" spans="2:3" ht="12.75">
      <c r="B1258" s="184"/>
      <c r="C1258" s="184"/>
    </row>
    <row r="1259" spans="2:3" ht="12.75">
      <c r="B1259" s="184"/>
      <c r="C1259" s="184"/>
    </row>
    <row r="1260" spans="2:3" ht="12.75">
      <c r="B1260" s="184"/>
      <c r="C1260" s="184"/>
    </row>
    <row r="1261" spans="2:3" ht="12.75">
      <c r="B1261" s="184"/>
      <c r="C1261" s="184"/>
    </row>
    <row r="1262" spans="2:3" ht="12.75">
      <c r="B1262" s="184"/>
      <c r="C1262" s="184"/>
    </row>
    <row r="1263" spans="2:3" ht="12.75">
      <c r="B1263" s="184"/>
      <c r="C1263" s="184"/>
    </row>
    <row r="1264" spans="2:3" ht="12.75">
      <c r="B1264" s="184"/>
      <c r="C1264" s="184"/>
    </row>
    <row r="1265" spans="2:3" ht="12.75">
      <c r="B1265" s="184"/>
      <c r="C1265" s="184"/>
    </row>
    <row r="1266" spans="2:3" ht="12.75">
      <c r="B1266" s="184"/>
      <c r="C1266" s="184"/>
    </row>
    <row r="1267" spans="2:3" ht="12.75">
      <c r="B1267" s="184"/>
      <c r="C1267" s="184"/>
    </row>
    <row r="1268" spans="2:3" ht="12.75">
      <c r="B1268" s="184"/>
      <c r="C1268" s="184"/>
    </row>
    <row r="1269" spans="2:3" ht="12.75">
      <c r="B1269" s="184"/>
      <c r="C1269" s="184"/>
    </row>
    <row r="1270" spans="2:3" ht="12.75">
      <c r="B1270" s="184"/>
      <c r="C1270" s="184"/>
    </row>
    <row r="1271" spans="2:3" ht="12.75">
      <c r="B1271" s="184"/>
      <c r="C1271" s="184"/>
    </row>
    <row r="1272" spans="2:3" ht="12.75">
      <c r="B1272" s="184"/>
      <c r="C1272" s="184"/>
    </row>
    <row r="1273" spans="2:3" ht="12.75">
      <c r="B1273" s="184"/>
      <c r="C1273" s="184"/>
    </row>
    <row r="1274" spans="2:3" ht="12.75">
      <c r="B1274" s="184"/>
      <c r="C1274" s="184"/>
    </row>
    <row r="1275" spans="2:3" ht="12.75">
      <c r="B1275" s="184"/>
      <c r="C1275" s="184"/>
    </row>
    <row r="1276" spans="2:3" ht="12.75">
      <c r="B1276" s="184"/>
      <c r="C1276" s="184"/>
    </row>
    <row r="1277" spans="2:3" ht="12.75">
      <c r="B1277" s="184"/>
      <c r="C1277" s="184"/>
    </row>
    <row r="1278" spans="2:3" ht="12.75">
      <c r="B1278" s="184"/>
      <c r="C1278" s="184"/>
    </row>
    <row r="1279" spans="2:3" ht="12.75">
      <c r="B1279" s="184"/>
      <c r="C1279" s="184"/>
    </row>
    <row r="1280" spans="2:3" ht="12.75">
      <c r="B1280" s="184"/>
      <c r="C1280" s="184"/>
    </row>
    <row r="1281" spans="2:3" ht="12.75">
      <c r="B1281" s="184"/>
      <c r="C1281" s="184"/>
    </row>
    <row r="1282" spans="2:3" ht="12.75">
      <c r="B1282" s="184"/>
      <c r="C1282" s="184"/>
    </row>
    <row r="1283" spans="2:3" ht="12.75">
      <c r="B1283" s="184"/>
      <c r="C1283" s="184"/>
    </row>
    <row r="1284" spans="2:3" ht="12.75">
      <c r="B1284" s="184"/>
      <c r="C1284" s="184"/>
    </row>
    <row r="1285" spans="2:3" ht="12.75">
      <c r="B1285" s="184"/>
      <c r="C1285" s="184"/>
    </row>
    <row r="1286" spans="2:3" ht="12.75">
      <c r="B1286" s="184"/>
      <c r="C1286" s="184"/>
    </row>
    <row r="1287" spans="2:3" ht="12.75">
      <c r="B1287" s="184"/>
      <c r="C1287" s="184"/>
    </row>
    <row r="1288" spans="2:3" ht="12.75">
      <c r="B1288" s="184"/>
      <c r="C1288" s="184"/>
    </row>
    <row r="1289" spans="2:3" ht="12.75">
      <c r="B1289" s="184"/>
      <c r="C1289" s="184"/>
    </row>
    <row r="1290" spans="2:3" ht="12.75">
      <c r="B1290" s="184"/>
      <c r="C1290" s="184"/>
    </row>
    <row r="1291" spans="2:3" ht="12.75">
      <c r="B1291" s="184"/>
      <c r="C1291" s="184"/>
    </row>
    <row r="1292" spans="2:3" ht="12.75">
      <c r="B1292" s="184"/>
      <c r="C1292" s="184"/>
    </row>
    <row r="1293" spans="2:3" ht="12.75">
      <c r="B1293" s="184"/>
      <c r="C1293" s="184"/>
    </row>
    <row r="1294" spans="2:3" ht="12.75">
      <c r="B1294" s="184"/>
      <c r="C1294" s="184"/>
    </row>
    <row r="1295" spans="2:3" ht="12.75">
      <c r="B1295" s="184"/>
      <c r="C1295" s="184"/>
    </row>
    <row r="1296" spans="2:3" ht="12.75">
      <c r="B1296" s="184"/>
      <c r="C1296" s="184"/>
    </row>
    <row r="1297" spans="2:3" ht="12.75">
      <c r="B1297" s="184"/>
      <c r="C1297" s="184"/>
    </row>
    <row r="1298" spans="2:3" ht="12.75">
      <c r="B1298" s="184"/>
      <c r="C1298" s="184"/>
    </row>
    <row r="1299" spans="2:3" ht="12.75">
      <c r="B1299" s="184"/>
      <c r="C1299" s="184"/>
    </row>
    <row r="1300" spans="2:3" ht="12.75">
      <c r="B1300" s="184"/>
      <c r="C1300" s="184"/>
    </row>
    <row r="1301" spans="2:3" ht="12.75">
      <c r="B1301" s="184"/>
      <c r="C1301" s="184"/>
    </row>
    <row r="1302" spans="2:3" ht="12.75">
      <c r="B1302" s="184"/>
      <c r="C1302" s="184"/>
    </row>
    <row r="1303" spans="2:3" ht="12.75">
      <c r="B1303" s="184"/>
      <c r="C1303" s="184"/>
    </row>
    <row r="1304" spans="2:3" ht="12.75">
      <c r="B1304" s="184"/>
      <c r="C1304" s="184"/>
    </row>
    <row r="1305" spans="2:3" ht="12.75">
      <c r="B1305" s="184"/>
      <c r="C1305" s="184"/>
    </row>
    <row r="1306" spans="2:3" ht="12.75">
      <c r="B1306" s="184"/>
      <c r="C1306" s="184"/>
    </row>
    <row r="1307" spans="2:3" ht="12.75">
      <c r="B1307" s="184"/>
      <c r="C1307" s="184"/>
    </row>
    <row r="1308" spans="2:3" ht="12.75">
      <c r="B1308" s="184"/>
      <c r="C1308" s="184"/>
    </row>
    <row r="1309" spans="2:3" ht="12.75">
      <c r="B1309" s="184"/>
      <c r="C1309" s="184"/>
    </row>
    <row r="1310" spans="2:3" ht="12.75">
      <c r="B1310" s="184"/>
      <c r="C1310" s="184"/>
    </row>
    <row r="1311" spans="2:3" ht="12.75">
      <c r="B1311" s="184"/>
      <c r="C1311" s="184"/>
    </row>
    <row r="1312" spans="2:3" ht="12.75">
      <c r="B1312" s="184"/>
      <c r="C1312" s="184"/>
    </row>
    <row r="1313" spans="2:3" ht="12.75">
      <c r="B1313" s="184"/>
      <c r="C1313" s="184"/>
    </row>
    <row r="1314" spans="2:3" ht="12.75">
      <c r="B1314" s="184"/>
      <c r="C1314" s="184"/>
    </row>
    <row r="1315" spans="2:3" ht="12.75">
      <c r="B1315" s="184"/>
      <c r="C1315" s="184"/>
    </row>
    <row r="1316" spans="2:3" ht="12.75">
      <c r="B1316" s="184"/>
      <c r="C1316" s="184"/>
    </row>
    <row r="1317" spans="2:3" ht="12.75">
      <c r="B1317" s="184"/>
      <c r="C1317" s="184"/>
    </row>
    <row r="1318" spans="2:3" ht="12.75">
      <c r="B1318" s="184"/>
      <c r="C1318" s="184"/>
    </row>
    <row r="1319" spans="2:3" ht="12.75">
      <c r="B1319" s="184"/>
      <c r="C1319" s="184"/>
    </row>
    <row r="1320" spans="2:3" ht="12.75">
      <c r="B1320" s="184"/>
      <c r="C1320" s="184"/>
    </row>
    <row r="1321" spans="2:3" ht="12.75">
      <c r="B1321" s="184"/>
      <c r="C1321" s="184"/>
    </row>
    <row r="1322" spans="2:3" ht="12.75">
      <c r="B1322" s="184"/>
      <c r="C1322" s="184"/>
    </row>
    <row r="1323" spans="2:3" ht="12.75">
      <c r="B1323" s="184"/>
      <c r="C1323" s="184"/>
    </row>
    <row r="1324" spans="2:3" ht="12.75">
      <c r="B1324" s="184"/>
      <c r="C1324" s="184"/>
    </row>
    <row r="1325" spans="2:3" ht="12.75">
      <c r="B1325" s="184"/>
      <c r="C1325" s="184"/>
    </row>
    <row r="1326" spans="2:3" ht="12.75">
      <c r="B1326" s="184"/>
      <c r="C1326" s="184"/>
    </row>
    <row r="1327" spans="2:3" ht="12.75">
      <c r="B1327" s="184"/>
      <c r="C1327" s="184"/>
    </row>
    <row r="1328" spans="2:3" ht="12.75">
      <c r="B1328" s="184"/>
      <c r="C1328" s="184"/>
    </row>
    <row r="1329" spans="2:3" ht="12.75">
      <c r="B1329" s="184"/>
      <c r="C1329" s="184"/>
    </row>
    <row r="1330" spans="2:3" ht="12.75">
      <c r="B1330" s="184"/>
      <c r="C1330" s="184"/>
    </row>
    <row r="1331" spans="2:3" ht="12.75">
      <c r="B1331" s="184"/>
      <c r="C1331" s="184"/>
    </row>
    <row r="1332" spans="2:3" ht="12.75">
      <c r="B1332" s="184"/>
      <c r="C1332" s="184"/>
    </row>
    <row r="1333" spans="2:3" ht="12.75">
      <c r="B1333" s="184"/>
      <c r="C1333" s="184"/>
    </row>
    <row r="1334" spans="2:3" ht="12.75">
      <c r="B1334" s="184"/>
      <c r="C1334" s="184"/>
    </row>
    <row r="1335" spans="2:3" ht="12.75">
      <c r="B1335" s="184"/>
      <c r="C1335" s="184"/>
    </row>
    <row r="1336" spans="2:3" ht="12.75">
      <c r="B1336" s="184"/>
      <c r="C1336" s="184"/>
    </row>
    <row r="1337" spans="2:3" ht="12.75">
      <c r="B1337" s="184"/>
      <c r="C1337" s="184"/>
    </row>
    <row r="1338" spans="2:3" ht="12.75">
      <c r="B1338" s="184"/>
      <c r="C1338" s="184"/>
    </row>
    <row r="1339" spans="2:3" ht="12.75">
      <c r="B1339" s="184"/>
      <c r="C1339" s="184"/>
    </row>
    <row r="1340" spans="2:3" ht="12.75">
      <c r="B1340" s="184"/>
      <c r="C1340" s="184"/>
    </row>
    <row r="1341" spans="2:3" ht="12.75">
      <c r="B1341" s="184"/>
      <c r="C1341" s="184"/>
    </row>
    <row r="1342" spans="2:3" ht="12.75">
      <c r="B1342" s="184"/>
      <c r="C1342" s="184"/>
    </row>
    <row r="1343" spans="2:3" ht="12.75">
      <c r="B1343" s="184"/>
      <c r="C1343" s="184"/>
    </row>
    <row r="1344" spans="2:3" ht="12.75">
      <c r="B1344" s="184"/>
      <c r="C1344" s="184"/>
    </row>
    <row r="1345" spans="2:3" ht="12.75">
      <c r="B1345" s="184"/>
      <c r="C1345" s="184"/>
    </row>
    <row r="1346" spans="2:3" ht="12.75">
      <c r="B1346" s="184"/>
      <c r="C1346" s="184"/>
    </row>
    <row r="1347" spans="2:3" ht="12.75">
      <c r="B1347" s="184"/>
      <c r="C1347" s="184"/>
    </row>
    <row r="1348" spans="2:3" ht="12.75">
      <c r="B1348" s="184"/>
      <c r="C1348" s="184"/>
    </row>
    <row r="1349" spans="2:3" ht="12.75">
      <c r="B1349" s="184"/>
      <c r="C1349" s="184"/>
    </row>
    <row r="1350" spans="2:3" ht="12.75">
      <c r="B1350" s="184"/>
      <c r="C1350" s="184"/>
    </row>
    <row r="1351" spans="2:3" ht="12.75">
      <c r="B1351" s="184"/>
      <c r="C1351" s="184"/>
    </row>
    <row r="1352" spans="2:3" ht="12.75">
      <c r="B1352" s="184"/>
      <c r="C1352" s="184"/>
    </row>
    <row r="1353" spans="2:3" ht="12.75">
      <c r="B1353" s="184"/>
      <c r="C1353" s="184"/>
    </row>
    <row r="1354" spans="2:3" ht="12.75">
      <c r="B1354" s="184"/>
      <c r="C1354" s="184"/>
    </row>
    <row r="1355" spans="2:3" ht="12.75">
      <c r="B1355" s="184"/>
      <c r="C1355" s="184"/>
    </row>
    <row r="1356" spans="2:3" ht="12.75">
      <c r="B1356" s="184"/>
      <c r="C1356" s="184"/>
    </row>
    <row r="1357" spans="2:3" ht="12.75">
      <c r="B1357" s="184"/>
      <c r="C1357" s="184"/>
    </row>
    <row r="1358" spans="2:3" ht="12.75">
      <c r="B1358" s="184"/>
      <c r="C1358" s="184"/>
    </row>
    <row r="1359" spans="2:3" ht="12.75">
      <c r="B1359" s="184"/>
      <c r="C1359" s="184"/>
    </row>
    <row r="1360" spans="2:3" ht="12.75">
      <c r="B1360" s="184"/>
      <c r="C1360" s="184"/>
    </row>
    <row r="1361" spans="2:3" ht="12.75">
      <c r="B1361" s="184"/>
      <c r="C1361" s="184"/>
    </row>
    <row r="1362" spans="2:3" ht="12.75">
      <c r="B1362" s="184"/>
      <c r="C1362" s="184"/>
    </row>
    <row r="1363" spans="2:3" ht="12.75">
      <c r="B1363" s="184"/>
      <c r="C1363" s="184"/>
    </row>
    <row r="1364" spans="2:3" ht="12.75">
      <c r="B1364" s="184"/>
      <c r="C1364" s="184"/>
    </row>
    <row r="1365" spans="2:3" ht="12.75">
      <c r="B1365" s="184"/>
      <c r="C1365" s="184"/>
    </row>
    <row r="1366" spans="2:3" ht="12.75">
      <c r="B1366" s="184"/>
      <c r="C1366" s="184"/>
    </row>
    <row r="1367" spans="2:3" ht="12.75">
      <c r="B1367" s="184"/>
      <c r="C1367" s="184"/>
    </row>
    <row r="1368" spans="2:3" ht="12.75">
      <c r="B1368" s="184"/>
      <c r="C1368" s="184"/>
    </row>
    <row r="1369" spans="2:3" ht="12.75">
      <c r="B1369" s="184"/>
      <c r="C1369" s="184"/>
    </row>
    <row r="1370" spans="2:3" ht="12.75">
      <c r="B1370" s="184"/>
      <c r="C1370" s="184"/>
    </row>
    <row r="1371" spans="2:3" ht="12.75">
      <c r="B1371" s="184"/>
      <c r="C1371" s="184"/>
    </row>
    <row r="1372" spans="2:3" ht="12.75">
      <c r="B1372" s="184"/>
      <c r="C1372" s="184"/>
    </row>
    <row r="1373" spans="2:3" ht="12.75">
      <c r="B1373" s="184"/>
      <c r="C1373" s="184"/>
    </row>
    <row r="1374" spans="2:3" ht="12.75">
      <c r="B1374" s="184"/>
      <c r="C1374" s="184"/>
    </row>
    <row r="1375" spans="2:3" ht="12.75">
      <c r="B1375" s="184"/>
      <c r="C1375" s="184"/>
    </row>
    <row r="1376" spans="2:3" ht="12.75">
      <c r="B1376" s="184"/>
      <c r="C1376" s="184"/>
    </row>
    <row r="1377" spans="2:3" ht="12.75">
      <c r="B1377" s="184"/>
      <c r="C1377" s="184"/>
    </row>
    <row r="1378" spans="2:3" ht="12.75">
      <c r="B1378" s="184"/>
      <c r="C1378" s="184"/>
    </row>
    <row r="1379" spans="2:3" ht="12.75">
      <c r="B1379" s="184"/>
      <c r="C1379" s="184"/>
    </row>
    <row r="1380" spans="2:3" ht="12.75">
      <c r="B1380" s="184"/>
      <c r="C1380" s="184"/>
    </row>
    <row r="1381" spans="2:3" ht="12.75">
      <c r="B1381" s="184"/>
      <c r="C1381" s="184"/>
    </row>
    <row r="1382" spans="2:3" ht="12.75">
      <c r="B1382" s="184"/>
      <c r="C1382" s="184"/>
    </row>
    <row r="1383" spans="2:3" ht="12.75">
      <c r="B1383" s="184"/>
      <c r="C1383" s="184"/>
    </row>
    <row r="1384" spans="2:3" ht="12.75">
      <c r="B1384" s="184"/>
      <c r="C1384" s="184"/>
    </row>
    <row r="1385" spans="2:3" ht="12.75">
      <c r="B1385" s="184"/>
      <c r="C1385" s="184"/>
    </row>
    <row r="1386" spans="2:3" ht="12.75">
      <c r="B1386" s="184"/>
      <c r="C1386" s="184"/>
    </row>
    <row r="1387" spans="2:3" ht="12.75">
      <c r="B1387" s="184"/>
      <c r="C1387" s="184"/>
    </row>
    <row r="1388" spans="2:3" ht="12.75">
      <c r="B1388" s="184"/>
      <c r="C1388" s="184"/>
    </row>
    <row r="1389" spans="2:3" ht="12.75">
      <c r="B1389" s="184"/>
      <c r="C1389" s="184"/>
    </row>
    <row r="1390" spans="2:3" ht="12.75">
      <c r="B1390" s="184"/>
      <c r="C1390" s="184"/>
    </row>
    <row r="1391" spans="2:3" ht="12.75">
      <c r="B1391" s="184"/>
      <c r="C1391" s="184"/>
    </row>
    <row r="1392" spans="2:3" ht="12.75">
      <c r="B1392" s="184"/>
      <c r="C1392" s="184"/>
    </row>
    <row r="1393" spans="2:3" ht="12.75">
      <c r="B1393" s="184"/>
      <c r="C1393" s="184"/>
    </row>
    <row r="1394" spans="2:3" ht="12.75">
      <c r="B1394" s="184"/>
      <c r="C1394" s="184"/>
    </row>
    <row r="1395" spans="2:3" ht="12.75">
      <c r="B1395" s="184"/>
      <c r="C1395" s="184"/>
    </row>
    <row r="1396" spans="2:3" ht="12.75">
      <c r="B1396" s="184"/>
      <c r="C1396" s="184"/>
    </row>
    <row r="1397" spans="2:3" ht="12.75">
      <c r="B1397" s="184"/>
      <c r="C1397" s="184"/>
    </row>
    <row r="1398" spans="2:3" ht="12.75">
      <c r="B1398" s="184"/>
      <c r="C1398" s="184"/>
    </row>
    <row r="1399" spans="2:3" ht="12.75">
      <c r="B1399" s="184"/>
      <c r="C1399" s="184"/>
    </row>
    <row r="1400" spans="2:3" ht="12.75">
      <c r="B1400" s="184"/>
      <c r="C1400" s="184"/>
    </row>
    <row r="1401" spans="2:3" ht="12.75">
      <c r="B1401" s="184"/>
      <c r="C1401" s="184"/>
    </row>
    <row r="1402" spans="2:3" ht="12.75">
      <c r="B1402" s="184"/>
      <c r="C1402" s="184"/>
    </row>
    <row r="1403" spans="2:3" ht="12.75">
      <c r="B1403" s="184"/>
      <c r="C1403" s="184"/>
    </row>
    <row r="1404" spans="2:3" ht="12.75">
      <c r="B1404" s="184"/>
      <c r="C1404" s="184"/>
    </row>
    <row r="1405" spans="2:3" ht="12.75">
      <c r="B1405" s="184"/>
      <c r="C1405" s="184"/>
    </row>
    <row r="1406" spans="2:3" ht="12.75">
      <c r="B1406" s="184"/>
      <c r="C1406" s="184"/>
    </row>
    <row r="1407" spans="2:3" ht="12.75">
      <c r="B1407" s="184"/>
      <c r="C1407" s="184"/>
    </row>
    <row r="1408" spans="2:3" ht="12.75">
      <c r="B1408" s="184"/>
      <c r="C1408" s="184"/>
    </row>
    <row r="1409" spans="2:3" ht="12.75">
      <c r="B1409" s="184"/>
      <c r="C1409" s="184"/>
    </row>
    <row r="1410" spans="2:3" ht="12.75">
      <c r="B1410" s="184"/>
      <c r="C1410" s="184"/>
    </row>
    <row r="1411" spans="2:3" ht="12.75">
      <c r="B1411" s="184"/>
      <c r="C1411" s="184"/>
    </row>
    <row r="1412" spans="2:3" ht="12.75">
      <c r="B1412" s="184"/>
      <c r="C1412" s="184"/>
    </row>
    <row r="1413" spans="2:3" ht="12.75">
      <c r="B1413" s="184"/>
      <c r="C1413" s="184"/>
    </row>
    <row r="1414" spans="2:3" ht="12.75">
      <c r="B1414" s="184"/>
      <c r="C1414" s="184"/>
    </row>
    <row r="1415" spans="2:3" ht="12.75">
      <c r="B1415" s="184"/>
      <c r="C1415" s="184"/>
    </row>
    <row r="1416" spans="2:3" ht="12.75">
      <c r="B1416" s="184"/>
      <c r="C1416" s="184"/>
    </row>
    <row r="1417" spans="2:3" ht="12.75">
      <c r="B1417" s="184"/>
      <c r="C1417" s="184"/>
    </row>
    <row r="1418" spans="2:3" ht="12.75">
      <c r="B1418" s="184"/>
      <c r="C1418" s="184"/>
    </row>
    <row r="1419" spans="2:3" ht="12.75">
      <c r="B1419" s="184"/>
      <c r="C1419" s="184"/>
    </row>
    <row r="1420" spans="2:3" ht="12.75">
      <c r="B1420" s="184"/>
      <c r="C1420" s="184"/>
    </row>
    <row r="1421" spans="2:3" ht="12.75">
      <c r="B1421" s="184"/>
      <c r="C1421" s="184"/>
    </row>
    <row r="1422" spans="2:3" ht="12.75">
      <c r="B1422" s="184"/>
      <c r="C1422" s="184"/>
    </row>
    <row r="1423" spans="2:3" ht="12.75">
      <c r="B1423" s="184"/>
      <c r="C1423" s="184"/>
    </row>
    <row r="1424" spans="2:3" ht="12.75">
      <c r="B1424" s="184"/>
      <c r="C1424" s="184"/>
    </row>
    <row r="1425" spans="2:3" ht="12.75">
      <c r="B1425" s="184"/>
      <c r="C1425" s="184"/>
    </row>
    <row r="1426" spans="2:3" ht="12.75">
      <c r="B1426" s="184"/>
      <c r="C1426" s="184"/>
    </row>
    <row r="1427" spans="2:3" ht="12.75">
      <c r="B1427" s="184"/>
      <c r="C1427" s="184"/>
    </row>
    <row r="1428" spans="2:3" ht="12.75">
      <c r="B1428" s="184"/>
      <c r="C1428" s="184"/>
    </row>
    <row r="1429" spans="2:3" ht="12.75">
      <c r="B1429" s="184"/>
      <c r="C1429" s="184"/>
    </row>
    <row r="1430" spans="2:3" ht="12.75">
      <c r="B1430" s="184"/>
      <c r="C1430" s="184"/>
    </row>
    <row r="1431" spans="2:3" ht="12.75">
      <c r="B1431" s="184"/>
      <c r="C1431" s="184"/>
    </row>
    <row r="1432" spans="2:3" ht="12.75">
      <c r="B1432" s="184"/>
      <c r="C1432" s="184"/>
    </row>
    <row r="1433" spans="2:3" ht="12.75">
      <c r="B1433" s="184"/>
      <c r="C1433" s="184"/>
    </row>
    <row r="1434" spans="2:3" ht="12.75">
      <c r="B1434" s="184"/>
      <c r="C1434" s="184"/>
    </row>
    <row r="1435" spans="2:3" ht="12.75">
      <c r="B1435" s="184"/>
      <c r="C1435" s="184"/>
    </row>
    <row r="1436" spans="2:3" ht="12.75">
      <c r="B1436" s="184"/>
      <c r="C1436" s="184"/>
    </row>
    <row r="1437" spans="2:3" ht="12.75">
      <c r="B1437" s="184"/>
      <c r="C1437" s="184"/>
    </row>
    <row r="1438" spans="2:3" ht="12.75">
      <c r="B1438" s="184"/>
      <c r="C1438" s="184"/>
    </row>
    <row r="1439" spans="2:3" ht="12.75">
      <c r="B1439" s="184"/>
      <c r="C1439" s="184"/>
    </row>
    <row r="1440" spans="2:3" ht="12.75">
      <c r="B1440" s="184"/>
      <c r="C1440" s="184"/>
    </row>
    <row r="1441" spans="2:3" ht="12.75">
      <c r="B1441" s="184"/>
      <c r="C1441" s="184"/>
    </row>
    <row r="1442" spans="2:3" ht="12.75">
      <c r="B1442" s="184"/>
      <c r="C1442" s="184"/>
    </row>
    <row r="1443" spans="2:3" ht="12.75">
      <c r="B1443" s="184"/>
      <c r="C1443" s="184"/>
    </row>
    <row r="1444" spans="2:3" ht="12.75">
      <c r="B1444" s="184"/>
      <c r="C1444" s="184"/>
    </row>
    <row r="1445" spans="2:3" ht="12.75">
      <c r="B1445" s="184"/>
      <c r="C1445" s="184"/>
    </row>
    <row r="1446" spans="2:3" ht="12.75">
      <c r="B1446" s="184"/>
      <c r="C1446" s="184"/>
    </row>
    <row r="1447" spans="2:3" ht="12.75">
      <c r="B1447" s="184"/>
      <c r="C1447" s="184"/>
    </row>
    <row r="1448" spans="2:3" ht="12.75">
      <c r="B1448" s="184"/>
      <c r="C1448" s="184"/>
    </row>
    <row r="1449" spans="2:3" ht="12.75">
      <c r="B1449" s="184"/>
      <c r="C1449" s="184"/>
    </row>
    <row r="1450" spans="2:3" ht="12.75">
      <c r="B1450" s="184"/>
      <c r="C1450" s="184"/>
    </row>
    <row r="1451" spans="2:3" ht="12.75">
      <c r="B1451" s="184"/>
      <c r="C1451" s="184"/>
    </row>
    <row r="1452" spans="2:3" ht="12.75">
      <c r="B1452" s="184"/>
      <c r="C1452" s="184"/>
    </row>
    <row r="1453" spans="2:3" ht="12.75">
      <c r="B1453" s="184"/>
      <c r="C1453" s="184"/>
    </row>
    <row r="1454" spans="2:3" ht="12.75">
      <c r="B1454" s="184"/>
      <c r="C1454" s="184"/>
    </row>
    <row r="1455" spans="2:3" ht="12.75">
      <c r="B1455" s="184"/>
      <c r="C1455" s="184"/>
    </row>
    <row r="1456" spans="2:3" ht="12.75">
      <c r="B1456" s="184"/>
      <c r="C1456" s="184"/>
    </row>
    <row r="1457" spans="2:3" ht="12.75">
      <c r="B1457" s="184"/>
      <c r="C1457" s="184"/>
    </row>
    <row r="1458" spans="2:3" ht="12.75">
      <c r="B1458" s="184"/>
      <c r="C1458" s="184"/>
    </row>
    <row r="1459" spans="2:3" ht="12.75">
      <c r="B1459" s="184"/>
      <c r="C1459" s="184"/>
    </row>
    <row r="1460" spans="2:3" ht="12.75">
      <c r="B1460" s="184"/>
      <c r="C1460" s="184"/>
    </row>
    <row r="1461" spans="2:3" ht="12.75">
      <c r="B1461" s="184"/>
      <c r="C1461" s="184"/>
    </row>
    <row r="1462" spans="2:3" ht="12.75">
      <c r="B1462" s="184"/>
      <c r="C1462" s="184"/>
    </row>
    <row r="1463" spans="2:3" ht="12.75">
      <c r="B1463" s="184"/>
      <c r="C1463" s="184"/>
    </row>
    <row r="1464" spans="2:3" ht="12.75">
      <c r="B1464" s="184"/>
      <c r="C1464" s="184"/>
    </row>
    <row r="1465" spans="2:3" ht="12.75">
      <c r="B1465" s="184"/>
      <c r="C1465" s="184"/>
    </row>
    <row r="1466" spans="2:3" ht="12.75">
      <c r="B1466" s="184"/>
      <c r="C1466" s="184"/>
    </row>
    <row r="1467" spans="2:3" ht="12.75">
      <c r="B1467" s="184"/>
      <c r="C1467" s="184"/>
    </row>
    <row r="1468" spans="2:3" ht="12.75">
      <c r="B1468" s="184"/>
      <c r="C1468" s="184"/>
    </row>
    <row r="1469" spans="2:3" ht="12.75">
      <c r="B1469" s="184"/>
      <c r="C1469" s="184"/>
    </row>
    <row r="1470" spans="2:3" ht="12.75">
      <c r="B1470" s="184"/>
      <c r="C1470" s="184"/>
    </row>
    <row r="1471" spans="2:3" ht="12.75">
      <c r="B1471" s="184"/>
      <c r="C1471" s="184"/>
    </row>
    <row r="1472" spans="2:3" ht="12.75">
      <c r="B1472" s="184"/>
      <c r="C1472" s="184"/>
    </row>
    <row r="1473" spans="2:3" ht="12.75">
      <c r="B1473" s="184"/>
      <c r="C1473" s="184"/>
    </row>
    <row r="1474" spans="2:3" ht="12.75">
      <c r="B1474" s="184"/>
      <c r="C1474" s="184"/>
    </row>
    <row r="1475" spans="2:3" ht="12.75">
      <c r="B1475" s="184"/>
      <c r="C1475" s="184"/>
    </row>
    <row r="1476" spans="2:3" ht="12.75">
      <c r="B1476" s="184"/>
      <c r="C1476" s="184"/>
    </row>
    <row r="1477" spans="2:3" ht="12.75">
      <c r="B1477" s="184"/>
      <c r="C1477" s="184"/>
    </row>
    <row r="1478" spans="2:3" ht="12.75">
      <c r="B1478" s="184"/>
      <c r="C1478" s="184"/>
    </row>
    <row r="1479" spans="2:3" ht="12.75">
      <c r="B1479" s="184"/>
      <c r="C1479" s="184"/>
    </row>
    <row r="1480" spans="2:3" ht="12.75">
      <c r="B1480" s="184"/>
      <c r="C1480" s="184"/>
    </row>
    <row r="1481" spans="2:3" ht="12.75">
      <c r="B1481" s="184"/>
      <c r="C1481" s="184"/>
    </row>
    <row r="1482" spans="2:3" ht="12.75">
      <c r="B1482" s="184"/>
      <c r="C1482" s="184"/>
    </row>
    <row r="1483" spans="2:3" ht="12.75">
      <c r="B1483" s="184"/>
      <c r="C1483" s="184"/>
    </row>
    <row r="1484" spans="2:3" ht="12.75">
      <c r="B1484" s="184"/>
      <c r="C1484" s="184"/>
    </row>
    <row r="1485" spans="2:3" ht="12.75">
      <c r="B1485" s="184"/>
      <c r="C1485" s="184"/>
    </row>
    <row r="1486" spans="2:3" ht="12.75">
      <c r="B1486" s="184"/>
      <c r="C1486" s="184"/>
    </row>
    <row r="1487" spans="2:3" ht="12.75">
      <c r="B1487" s="184"/>
      <c r="C1487" s="184"/>
    </row>
    <row r="1488" spans="2:3" ht="12.75">
      <c r="B1488" s="184"/>
      <c r="C1488" s="184"/>
    </row>
    <row r="1489" spans="2:3" ht="12.75">
      <c r="B1489" s="184"/>
      <c r="C1489" s="184"/>
    </row>
    <row r="1490" spans="2:3" ht="12.75">
      <c r="B1490" s="184"/>
      <c r="C1490" s="184"/>
    </row>
    <row r="1491" spans="2:3" ht="12.75">
      <c r="B1491" s="184"/>
      <c r="C1491" s="184"/>
    </row>
    <row r="1492" spans="2:3" ht="12.75">
      <c r="B1492" s="184"/>
      <c r="C1492" s="184"/>
    </row>
    <row r="1493" spans="2:3" ht="12.75">
      <c r="B1493" s="184"/>
      <c r="C1493" s="184"/>
    </row>
    <row r="1494" spans="2:3" ht="12.75">
      <c r="B1494" s="184"/>
      <c r="C1494" s="184"/>
    </row>
    <row r="1495" spans="2:3" ht="12.75">
      <c r="B1495" s="184"/>
      <c r="C1495" s="184"/>
    </row>
    <row r="1496" spans="2:3" ht="12.75">
      <c r="B1496" s="184"/>
      <c r="C1496" s="184"/>
    </row>
    <row r="1497" spans="2:3" ht="12.75">
      <c r="B1497" s="184"/>
      <c r="C1497" s="184"/>
    </row>
    <row r="1498" spans="2:3" ht="12.75">
      <c r="B1498" s="184"/>
      <c r="C1498" s="184"/>
    </row>
    <row r="1499" spans="2:3" ht="12.75">
      <c r="B1499" s="184"/>
      <c r="C1499" s="184"/>
    </row>
    <row r="1500" spans="2:3" ht="12.75">
      <c r="B1500" s="184"/>
      <c r="C1500" s="184"/>
    </row>
    <row r="1501" spans="2:3" ht="12.75">
      <c r="B1501" s="184"/>
      <c r="C1501" s="184"/>
    </row>
    <row r="1502" spans="2:3" ht="12.75">
      <c r="B1502" s="184"/>
      <c r="C1502" s="184"/>
    </row>
    <row r="1503" spans="2:3" ht="12.75">
      <c r="B1503" s="184"/>
      <c r="C1503" s="184"/>
    </row>
    <row r="1504" spans="2:3" ht="12.75">
      <c r="B1504" s="184"/>
      <c r="C1504" s="184"/>
    </row>
    <row r="1505" spans="2:3" ht="12.75">
      <c r="B1505" s="184"/>
      <c r="C1505" s="184"/>
    </row>
    <row r="1506" spans="2:3" ht="12.75">
      <c r="B1506" s="184"/>
      <c r="C1506" s="184"/>
    </row>
    <row r="1507" spans="2:3" ht="12.75">
      <c r="B1507" s="184"/>
      <c r="C1507" s="184"/>
    </row>
    <row r="1508" spans="2:3" ht="12.75">
      <c r="B1508" s="184"/>
      <c r="C1508" s="184"/>
    </row>
    <row r="1509" spans="2:3" ht="12.75">
      <c r="B1509" s="184"/>
      <c r="C1509" s="184"/>
    </row>
    <row r="1510" spans="2:3" ht="12.75">
      <c r="B1510" s="184"/>
      <c r="C1510" s="184"/>
    </row>
    <row r="1511" spans="2:3" ht="12.75">
      <c r="B1511" s="184"/>
      <c r="C1511" s="184"/>
    </row>
    <row r="1512" spans="2:3" ht="12.75">
      <c r="B1512" s="184"/>
      <c r="C1512" s="184"/>
    </row>
    <row r="1513" spans="2:3" ht="12.75">
      <c r="B1513" s="184"/>
      <c r="C1513" s="184"/>
    </row>
    <row r="1514" spans="2:3" ht="12.75">
      <c r="B1514" s="184"/>
      <c r="C1514" s="184"/>
    </row>
    <row r="1515" spans="2:3" ht="12.75">
      <c r="B1515" s="184"/>
      <c r="C1515" s="184"/>
    </row>
    <row r="1516" spans="2:3" ht="12.75">
      <c r="B1516" s="184"/>
      <c r="C1516" s="184"/>
    </row>
    <row r="1517" spans="2:3" ht="12.75">
      <c r="B1517" s="184"/>
      <c r="C1517" s="184"/>
    </row>
    <row r="1518" spans="2:3" ht="12.75">
      <c r="B1518" s="184"/>
      <c r="C1518" s="184"/>
    </row>
    <row r="1519" spans="2:3" ht="12.75">
      <c r="B1519" s="184"/>
      <c r="C1519" s="184"/>
    </row>
    <row r="1520" spans="2:3" ht="12.75">
      <c r="B1520" s="184"/>
      <c r="C1520" s="184"/>
    </row>
    <row r="1521" spans="2:3" ht="12.75">
      <c r="B1521" s="184"/>
      <c r="C1521" s="184"/>
    </row>
    <row r="1522" spans="2:3" ht="12.75">
      <c r="B1522" s="184"/>
      <c r="C1522" s="184"/>
    </row>
    <row r="1523" spans="2:3" ht="12.75">
      <c r="B1523" s="184"/>
      <c r="C1523" s="184"/>
    </row>
    <row r="1524" spans="2:3" ht="12.75">
      <c r="B1524" s="184"/>
      <c r="C1524" s="184"/>
    </row>
    <row r="1525" spans="2:3" ht="12.75">
      <c r="B1525" s="184"/>
      <c r="C1525" s="184"/>
    </row>
    <row r="1526" spans="2:3" ht="12.75">
      <c r="B1526" s="184"/>
      <c r="C1526" s="184"/>
    </row>
    <row r="1527" spans="2:3" ht="12.75">
      <c r="B1527" s="184"/>
      <c r="C1527" s="184"/>
    </row>
    <row r="1528" spans="2:3" ht="12.75">
      <c r="B1528" s="184"/>
      <c r="C1528" s="184"/>
    </row>
    <row r="1529" spans="2:3" ht="12.75">
      <c r="B1529" s="184"/>
      <c r="C1529" s="184"/>
    </row>
    <row r="1530" spans="2:3" ht="12.75">
      <c r="B1530" s="184"/>
      <c r="C1530" s="184"/>
    </row>
    <row r="1531" spans="2:3" ht="12.75">
      <c r="B1531" s="184"/>
      <c r="C1531" s="184"/>
    </row>
    <row r="1532" spans="2:3" ht="12.75">
      <c r="B1532" s="184"/>
      <c r="C1532" s="184"/>
    </row>
    <row r="1533" spans="2:3" ht="12.75">
      <c r="B1533" s="184"/>
      <c r="C1533" s="184"/>
    </row>
    <row r="1534" spans="2:3" ht="12.75">
      <c r="B1534" s="184"/>
      <c r="C1534" s="184"/>
    </row>
    <row r="1535" spans="2:3" ht="12.75">
      <c r="B1535" s="184"/>
      <c r="C1535" s="184"/>
    </row>
    <row r="1536" spans="2:3" ht="12.75">
      <c r="B1536" s="184"/>
      <c r="C1536" s="184"/>
    </row>
    <row r="1537" spans="2:3" ht="12.75">
      <c r="B1537" s="184"/>
      <c r="C1537" s="184"/>
    </row>
    <row r="1538" spans="2:3" ht="12.75">
      <c r="B1538" s="184"/>
      <c r="C1538" s="184"/>
    </row>
    <row r="1539" spans="2:3" ht="12.75">
      <c r="B1539" s="184"/>
      <c r="C1539" s="184"/>
    </row>
    <row r="1540" spans="2:3" ht="12.75">
      <c r="B1540" s="184"/>
      <c r="C1540" s="184"/>
    </row>
    <row r="1541" spans="2:3" ht="12.75">
      <c r="B1541" s="184"/>
      <c r="C1541" s="184"/>
    </row>
    <row r="1542" spans="2:3" ht="12.75">
      <c r="B1542" s="184"/>
      <c r="C1542" s="184"/>
    </row>
    <row r="1543" spans="2:3" ht="12.75">
      <c r="B1543" s="184"/>
      <c r="C1543" s="184"/>
    </row>
    <row r="1544" spans="2:3" ht="12.75">
      <c r="B1544" s="184"/>
      <c r="C1544" s="184"/>
    </row>
    <row r="1545" spans="2:3" ht="12.75">
      <c r="B1545" s="184"/>
      <c r="C1545" s="184"/>
    </row>
    <row r="1546" spans="2:3" ht="12.75">
      <c r="B1546" s="184"/>
      <c r="C1546" s="184"/>
    </row>
    <row r="1547" spans="2:3" ht="12.75">
      <c r="B1547" s="184"/>
      <c r="C1547" s="184"/>
    </row>
    <row r="1548" spans="2:3" ht="12.75">
      <c r="B1548" s="184"/>
      <c r="C1548" s="184"/>
    </row>
    <row r="1549" spans="2:3" ht="12.75">
      <c r="B1549" s="184"/>
      <c r="C1549" s="184"/>
    </row>
    <row r="1550" spans="2:3" ht="12.75">
      <c r="B1550" s="184"/>
      <c r="C1550" s="184"/>
    </row>
    <row r="1551" spans="2:3" ht="12.75">
      <c r="B1551" s="184"/>
      <c r="C1551" s="184"/>
    </row>
    <row r="1552" spans="2:3" ht="12.75">
      <c r="B1552" s="184"/>
      <c r="C1552" s="184"/>
    </row>
    <row r="1553" spans="2:3" ht="12.75">
      <c r="B1553" s="184"/>
      <c r="C1553" s="184"/>
    </row>
    <row r="1554" spans="2:3" ht="12.75">
      <c r="B1554" s="184"/>
      <c r="C1554" s="184"/>
    </row>
    <row r="1555" spans="2:3" ht="12.75">
      <c r="B1555" s="184"/>
      <c r="C1555" s="184"/>
    </row>
    <row r="1556" spans="2:3" ht="12.75">
      <c r="B1556" s="184"/>
      <c r="C1556" s="184"/>
    </row>
    <row r="1557" spans="2:3" ht="12.75">
      <c r="B1557" s="184"/>
      <c r="C1557" s="184"/>
    </row>
    <row r="1558" spans="2:3" ht="12.75">
      <c r="B1558" s="184"/>
      <c r="C1558" s="184"/>
    </row>
    <row r="1559" spans="2:3" ht="12.75">
      <c r="B1559" s="184"/>
      <c r="C1559" s="184"/>
    </row>
    <row r="1560" spans="2:3" ht="12.75">
      <c r="B1560" s="184"/>
      <c r="C1560" s="184"/>
    </row>
    <row r="1561" spans="2:3" ht="12.75">
      <c r="B1561" s="184"/>
      <c r="C1561" s="184"/>
    </row>
    <row r="1562" spans="2:3" ht="12.75">
      <c r="B1562" s="184"/>
      <c r="C1562" s="184"/>
    </row>
    <row r="1563" spans="2:3" ht="12.75">
      <c r="B1563" s="184"/>
      <c r="C1563" s="184"/>
    </row>
    <row r="1564" spans="2:3" ht="12.75">
      <c r="B1564" s="184"/>
      <c r="C1564" s="184"/>
    </row>
    <row r="1565" spans="2:3" ht="12.75">
      <c r="B1565" s="184"/>
      <c r="C1565" s="184"/>
    </row>
    <row r="1566" spans="2:3" ht="12.75">
      <c r="B1566" s="184"/>
      <c r="C1566" s="184"/>
    </row>
    <row r="1567" spans="2:3" ht="12.75">
      <c r="B1567" s="184"/>
      <c r="C1567" s="184"/>
    </row>
    <row r="1568" spans="2:3" ht="12.75">
      <c r="B1568" s="184"/>
      <c r="C1568" s="184"/>
    </row>
    <row r="1569" spans="2:3" ht="12.75">
      <c r="B1569" s="184"/>
      <c r="C1569" s="184"/>
    </row>
    <row r="1570" spans="2:3" ht="12.75">
      <c r="B1570" s="184"/>
      <c r="C1570" s="184"/>
    </row>
    <row r="1571" spans="2:3" ht="12.75">
      <c r="B1571" s="184"/>
      <c r="C1571" s="184"/>
    </row>
    <row r="1572" spans="2:3" ht="12.75">
      <c r="B1572" s="184"/>
      <c r="C1572" s="184"/>
    </row>
    <row r="1573" spans="2:3" ht="12.75">
      <c r="B1573" s="184"/>
      <c r="C1573" s="184"/>
    </row>
    <row r="1574" spans="2:3" ht="12.75">
      <c r="B1574" s="184"/>
      <c r="C1574" s="184"/>
    </row>
    <row r="1575" spans="2:3" ht="12.75">
      <c r="B1575" s="184"/>
      <c r="C1575" s="184"/>
    </row>
    <row r="1576" spans="2:3" ht="12.75">
      <c r="B1576" s="184"/>
      <c r="C1576" s="184"/>
    </row>
    <row r="1577" spans="2:3" ht="12.75">
      <c r="B1577" s="184"/>
      <c r="C1577" s="184"/>
    </row>
    <row r="1578" spans="2:3" ht="12.75">
      <c r="B1578" s="184"/>
      <c r="C1578" s="184"/>
    </row>
    <row r="1579" spans="2:3" ht="12.75">
      <c r="B1579" s="184"/>
      <c r="C1579" s="184"/>
    </row>
    <row r="1580" spans="2:3" ht="12.75">
      <c r="B1580" s="184"/>
      <c r="C1580" s="184"/>
    </row>
    <row r="1581" spans="2:3" ht="12.75">
      <c r="B1581" s="184"/>
      <c r="C1581" s="184"/>
    </row>
    <row r="1582" spans="2:3" ht="12.75">
      <c r="B1582" s="184"/>
      <c r="C1582" s="184"/>
    </row>
    <row r="1583" spans="2:3" ht="12.75">
      <c r="B1583" s="184"/>
      <c r="C1583" s="184"/>
    </row>
    <row r="1584" spans="2:3" ht="12.75">
      <c r="B1584" s="184"/>
      <c r="C1584" s="184"/>
    </row>
    <row r="1585" spans="2:3" ht="12.75">
      <c r="B1585" s="184"/>
      <c r="C1585" s="184"/>
    </row>
    <row r="1586" spans="2:3" ht="12.75">
      <c r="B1586" s="184"/>
      <c r="C1586" s="184"/>
    </row>
    <row r="1587" spans="2:3" ht="12.75">
      <c r="B1587" s="184"/>
      <c r="C1587" s="184"/>
    </row>
    <row r="1588" spans="2:3" ht="12.75">
      <c r="B1588" s="184"/>
      <c r="C1588" s="184"/>
    </row>
    <row r="1589" spans="2:3" ht="12.75">
      <c r="B1589" s="184"/>
      <c r="C1589" s="184"/>
    </row>
    <row r="1590" spans="2:3" ht="12.75">
      <c r="B1590" s="184"/>
      <c r="C1590" s="184"/>
    </row>
    <row r="1591" spans="2:3" ht="12.75">
      <c r="B1591" s="184"/>
      <c r="C1591" s="184"/>
    </row>
    <row r="1592" spans="2:3" ht="12.75">
      <c r="B1592" s="184"/>
      <c r="C1592" s="184"/>
    </row>
    <row r="1593" spans="2:3" ht="12.75">
      <c r="B1593" s="184"/>
      <c r="C1593" s="184"/>
    </row>
    <row r="1594" spans="2:3" ht="12.75">
      <c r="B1594" s="184"/>
      <c r="C1594" s="184"/>
    </row>
    <row r="1595" spans="2:3" ht="12.75">
      <c r="B1595" s="184"/>
      <c r="C1595" s="184"/>
    </row>
    <row r="1596" spans="2:3" ht="12.75">
      <c r="B1596" s="184"/>
      <c r="C1596" s="184"/>
    </row>
    <row r="1597" spans="2:3" ht="12.75">
      <c r="B1597" s="184"/>
      <c r="C1597" s="184"/>
    </row>
    <row r="1598" spans="2:3" ht="12.75">
      <c r="B1598" s="184"/>
      <c r="C1598" s="184"/>
    </row>
    <row r="1599" spans="2:3" ht="12.75">
      <c r="B1599" s="184"/>
      <c r="C1599" s="184"/>
    </row>
    <row r="1600" spans="2:3" ht="12.75">
      <c r="B1600" s="184"/>
      <c r="C1600" s="184"/>
    </row>
    <row r="1601" spans="2:3" ht="12.75">
      <c r="B1601" s="184"/>
      <c r="C1601" s="184"/>
    </row>
    <row r="1602" spans="2:3" ht="12.75">
      <c r="B1602" s="184"/>
      <c r="C1602" s="184"/>
    </row>
    <row r="1603" spans="2:3" ht="12.75">
      <c r="B1603" s="184"/>
      <c r="C1603" s="184"/>
    </row>
    <row r="1604" spans="2:3" ht="12.75">
      <c r="B1604" s="184"/>
      <c r="C1604" s="184"/>
    </row>
    <row r="1605" spans="2:3" ht="12.75">
      <c r="B1605" s="184"/>
      <c r="C1605" s="184"/>
    </row>
    <row r="1606" spans="2:3" ht="12.75">
      <c r="B1606" s="184"/>
      <c r="C1606" s="184"/>
    </row>
    <row r="1607" spans="2:3" ht="12.75">
      <c r="B1607" s="184"/>
      <c r="C1607" s="184"/>
    </row>
    <row r="1608" spans="2:3" ht="12.75">
      <c r="B1608" s="184"/>
      <c r="C1608" s="184"/>
    </row>
    <row r="1609" spans="2:3" ht="12.75">
      <c r="B1609" s="184"/>
      <c r="C1609" s="184"/>
    </row>
    <row r="1610" spans="2:3" ht="12.75">
      <c r="B1610" s="184"/>
      <c r="C1610" s="184"/>
    </row>
    <row r="1611" spans="2:3" ht="12.75">
      <c r="B1611" s="184"/>
      <c r="C1611" s="184"/>
    </row>
    <row r="1612" spans="2:3" ht="12.75">
      <c r="B1612" s="184"/>
      <c r="C1612" s="184"/>
    </row>
    <row r="1613" spans="2:3" ht="12.75">
      <c r="B1613" s="184"/>
      <c r="C1613" s="184"/>
    </row>
    <row r="1614" spans="2:3" ht="12.75">
      <c r="B1614" s="184"/>
      <c r="C1614" s="184"/>
    </row>
    <row r="1615" spans="2:3" ht="12.75">
      <c r="B1615" s="184"/>
      <c r="C1615" s="184"/>
    </row>
    <row r="1616" spans="2:3" ht="12.75">
      <c r="B1616" s="184"/>
      <c r="C1616" s="184"/>
    </row>
    <row r="1617" spans="2:3" ht="12.75">
      <c r="B1617" s="184"/>
      <c r="C1617" s="184"/>
    </row>
    <row r="1618" spans="2:3" ht="12.75">
      <c r="B1618" s="184"/>
      <c r="C1618" s="184"/>
    </row>
    <row r="1619" spans="2:3" ht="12.75">
      <c r="B1619" s="184"/>
      <c r="C1619" s="184"/>
    </row>
    <row r="1620" spans="2:3" ht="12.75">
      <c r="B1620" s="184"/>
      <c r="C1620" s="184"/>
    </row>
    <row r="1621" spans="2:3" ht="12.75">
      <c r="B1621" s="184"/>
      <c r="C1621" s="184"/>
    </row>
    <row r="1622" spans="2:3" ht="12.75">
      <c r="B1622" s="184"/>
      <c r="C1622" s="184"/>
    </row>
    <row r="1623" spans="2:3" ht="12.75">
      <c r="B1623" s="184"/>
      <c r="C1623" s="184"/>
    </row>
    <row r="1624" spans="2:3" ht="12.75">
      <c r="B1624" s="184"/>
      <c r="C1624" s="184"/>
    </row>
    <row r="1625" spans="2:3" ht="12.75">
      <c r="B1625" s="184"/>
      <c r="C1625" s="184"/>
    </row>
    <row r="1626" spans="2:3" ht="12.75">
      <c r="B1626" s="184"/>
      <c r="C1626" s="184"/>
    </row>
    <row r="1627" spans="2:3" ht="12.75">
      <c r="B1627" s="184"/>
      <c r="C1627" s="184"/>
    </row>
    <row r="1628" spans="2:3" ht="12.75">
      <c r="B1628" s="184"/>
      <c r="C1628" s="184"/>
    </row>
    <row r="1629" spans="2:3" ht="12.75">
      <c r="B1629" s="184"/>
      <c r="C1629" s="184"/>
    </row>
    <row r="1630" spans="2:3" ht="12.75">
      <c r="B1630" s="184"/>
      <c r="C1630" s="184"/>
    </row>
    <row r="1631" spans="2:3" ht="12.75">
      <c r="B1631" s="184"/>
      <c r="C1631" s="184"/>
    </row>
    <row r="1632" spans="2:3" ht="12.75">
      <c r="B1632" s="184"/>
      <c r="C1632" s="184"/>
    </row>
    <row r="1633" spans="2:3" ht="12.75">
      <c r="B1633" s="184"/>
      <c r="C1633" s="184"/>
    </row>
    <row r="1634" spans="2:3" ht="12.75">
      <c r="B1634" s="184"/>
      <c r="C1634" s="184"/>
    </row>
    <row r="1635" spans="2:3" ht="12.75">
      <c r="B1635" s="184"/>
      <c r="C1635" s="184"/>
    </row>
    <row r="1636" spans="2:3" ht="12.75">
      <c r="B1636" s="184"/>
      <c r="C1636" s="184"/>
    </row>
    <row r="1637" spans="2:3" ht="12.75">
      <c r="B1637" s="184"/>
      <c r="C1637" s="184"/>
    </row>
    <row r="1638" spans="2:3" ht="12.75">
      <c r="B1638" s="184"/>
      <c r="C1638" s="184"/>
    </row>
    <row r="1639" spans="2:3" ht="12.75">
      <c r="B1639" s="184"/>
      <c r="C1639" s="184"/>
    </row>
    <row r="1640" spans="2:3" ht="12.75">
      <c r="B1640" s="184"/>
      <c r="C1640" s="184"/>
    </row>
    <row r="1641" spans="2:3" ht="12.75">
      <c r="B1641" s="184"/>
      <c r="C1641" s="184"/>
    </row>
    <row r="1642" spans="2:3" ht="12.75">
      <c r="B1642" s="184"/>
      <c r="C1642" s="184"/>
    </row>
    <row r="1643" spans="2:3" ht="12.75">
      <c r="B1643" s="184"/>
      <c r="C1643" s="184"/>
    </row>
    <row r="1644" spans="2:3" ht="12.75">
      <c r="B1644" s="184"/>
      <c r="C1644" s="184"/>
    </row>
    <row r="1645" spans="2:3" ht="12.75">
      <c r="B1645" s="184"/>
      <c r="C1645" s="184"/>
    </row>
    <row r="1646" spans="2:3" ht="12.75">
      <c r="B1646" s="184"/>
      <c r="C1646" s="184"/>
    </row>
    <row r="1647" spans="2:3" ht="12.75">
      <c r="B1647" s="184"/>
      <c r="C1647" s="184"/>
    </row>
    <row r="1648" spans="2:3" ht="12.75">
      <c r="B1648" s="184"/>
      <c r="C1648" s="184"/>
    </row>
    <row r="1649" spans="2:3" ht="12.75">
      <c r="B1649" s="184"/>
      <c r="C1649" s="184"/>
    </row>
    <row r="1650" spans="2:3" ht="12.75">
      <c r="B1650" s="184"/>
      <c r="C1650" s="184"/>
    </row>
    <row r="1651" spans="2:3" ht="12.75">
      <c r="B1651" s="184"/>
      <c r="C1651" s="184"/>
    </row>
    <row r="1652" spans="2:3" ht="12.75">
      <c r="B1652" s="184"/>
      <c r="C1652" s="184"/>
    </row>
    <row r="1653" spans="2:3" ht="12.75">
      <c r="B1653" s="184"/>
      <c r="C1653" s="184"/>
    </row>
    <row r="1654" spans="2:3" ht="12.75">
      <c r="B1654" s="184"/>
      <c r="C1654" s="184"/>
    </row>
    <row r="1655" spans="2:3" ht="12.75">
      <c r="B1655" s="184"/>
      <c r="C1655" s="184"/>
    </row>
    <row r="1656" spans="2:3" ht="12.75">
      <c r="B1656" s="184"/>
      <c r="C1656" s="184"/>
    </row>
    <row r="1657" spans="2:3" ht="12.75">
      <c r="B1657" s="184"/>
      <c r="C1657" s="184"/>
    </row>
    <row r="1658" spans="2:3" ht="12.75">
      <c r="B1658" s="184"/>
      <c r="C1658" s="184"/>
    </row>
    <row r="1659" spans="2:3" ht="12.75">
      <c r="B1659" s="184"/>
      <c r="C1659" s="184"/>
    </row>
    <row r="1660" spans="2:3" ht="12.75">
      <c r="B1660" s="184"/>
      <c r="C1660" s="184"/>
    </row>
    <row r="1661" spans="2:3" ht="12.75">
      <c r="B1661" s="184"/>
      <c r="C1661" s="184"/>
    </row>
    <row r="1662" spans="2:3" ht="12.75">
      <c r="B1662" s="184"/>
      <c r="C1662" s="184"/>
    </row>
    <row r="1663" spans="2:3" ht="12.75">
      <c r="B1663" s="184"/>
      <c r="C1663" s="184"/>
    </row>
    <row r="1664" spans="2:3" ht="12.75">
      <c r="B1664" s="184"/>
      <c r="C1664" s="184"/>
    </row>
    <row r="1665" spans="2:3" ht="12.75">
      <c r="B1665" s="184"/>
      <c r="C1665" s="184"/>
    </row>
    <row r="1666" spans="2:3" ht="12.75">
      <c r="B1666" s="184"/>
      <c r="C1666" s="184"/>
    </row>
    <row r="1667" spans="2:3" ht="12.75">
      <c r="B1667" s="184"/>
      <c r="C1667" s="184"/>
    </row>
    <row r="1668" spans="2:3" ht="12.75">
      <c r="B1668" s="184"/>
      <c r="C1668" s="184"/>
    </row>
    <row r="1669" spans="2:3" ht="12.75">
      <c r="B1669" s="184"/>
      <c r="C1669" s="184"/>
    </row>
    <row r="1670" spans="2:3" ht="12.75">
      <c r="B1670" s="184"/>
      <c r="C1670" s="184"/>
    </row>
    <row r="1671" spans="2:3" ht="12.75">
      <c r="B1671" s="184"/>
      <c r="C1671" s="184"/>
    </row>
    <row r="1672" spans="2:3" ht="12.75">
      <c r="B1672" s="184"/>
      <c r="C1672" s="184"/>
    </row>
    <row r="1673" spans="2:3" ht="12.75">
      <c r="B1673" s="184"/>
      <c r="C1673" s="184"/>
    </row>
    <row r="1674" spans="2:3" ht="12.75">
      <c r="B1674" s="184"/>
      <c r="C1674" s="184"/>
    </row>
    <row r="1675" spans="2:3" ht="12.75">
      <c r="B1675" s="184"/>
      <c r="C1675" s="184"/>
    </row>
    <row r="1676" spans="2:3" ht="12.75">
      <c r="B1676" s="184"/>
      <c r="C1676" s="184"/>
    </row>
    <row r="1677" spans="2:3" ht="12.75">
      <c r="B1677" s="184"/>
      <c r="C1677" s="184"/>
    </row>
    <row r="1678" spans="2:3" ht="12.75">
      <c r="B1678" s="184"/>
      <c r="C1678" s="184"/>
    </row>
    <row r="1679" spans="2:3" ht="12.75">
      <c r="B1679" s="184"/>
      <c r="C1679" s="184"/>
    </row>
    <row r="1680" spans="2:3" ht="12.75">
      <c r="B1680" s="184"/>
      <c r="C1680" s="184"/>
    </row>
    <row r="1681" spans="2:3" ht="12.75">
      <c r="B1681" s="184"/>
      <c r="C1681" s="184"/>
    </row>
    <row r="1682" spans="2:3" ht="12.75">
      <c r="B1682" s="184"/>
      <c r="C1682" s="184"/>
    </row>
    <row r="1683" spans="2:3" ht="12.75">
      <c r="B1683" s="184"/>
      <c r="C1683" s="184"/>
    </row>
    <row r="1684" spans="2:3" ht="12.75">
      <c r="B1684" s="184"/>
      <c r="C1684" s="184"/>
    </row>
    <row r="1685" spans="2:3" ht="12.75">
      <c r="B1685" s="184"/>
      <c r="C1685" s="184"/>
    </row>
    <row r="1686" spans="2:3" ht="12.75">
      <c r="B1686" s="184"/>
      <c r="C1686" s="184"/>
    </row>
    <row r="1687" spans="2:3" ht="12.75">
      <c r="B1687" s="184"/>
      <c r="C1687" s="184"/>
    </row>
    <row r="1688" spans="2:3" ht="12.75">
      <c r="B1688" s="184"/>
      <c r="C1688" s="184"/>
    </row>
    <row r="1689" spans="2:3" ht="12.75">
      <c r="B1689" s="184"/>
      <c r="C1689" s="184"/>
    </row>
    <row r="1690" spans="2:3" ht="12.75">
      <c r="B1690" s="184"/>
      <c r="C1690" s="184"/>
    </row>
    <row r="1691" spans="2:3" ht="12.75">
      <c r="B1691" s="184"/>
      <c r="C1691" s="184"/>
    </row>
    <row r="1692" spans="2:3" ht="12.75">
      <c r="B1692" s="184"/>
      <c r="C1692" s="184"/>
    </row>
    <row r="1693" spans="2:3" ht="12.75">
      <c r="B1693" s="184"/>
      <c r="C1693" s="184"/>
    </row>
    <row r="1694" spans="2:3" ht="12.75">
      <c r="B1694" s="184"/>
      <c r="C1694" s="184"/>
    </row>
    <row r="1695" spans="2:3" ht="12.75">
      <c r="B1695" s="184"/>
      <c r="C1695" s="184"/>
    </row>
    <row r="1696" spans="2:3" ht="12.75">
      <c r="B1696" s="184"/>
      <c r="C1696" s="184"/>
    </row>
    <row r="1697" spans="2:3" ht="12.75">
      <c r="B1697" s="184"/>
      <c r="C1697" s="184"/>
    </row>
    <row r="1698" spans="2:3" ht="12.75">
      <c r="B1698" s="184"/>
      <c r="C1698" s="184"/>
    </row>
    <row r="1699" spans="2:3" ht="12.75">
      <c r="B1699" s="184"/>
      <c r="C1699" s="184"/>
    </row>
    <row r="1700" spans="2:3" ht="12.75">
      <c r="B1700" s="184"/>
      <c r="C1700" s="184"/>
    </row>
    <row r="1701" spans="2:3" ht="12.75">
      <c r="B1701" s="184"/>
      <c r="C1701" s="184"/>
    </row>
    <row r="1702" spans="2:3" ht="12.75">
      <c r="B1702" s="184"/>
      <c r="C1702" s="184"/>
    </row>
    <row r="1703" spans="2:3" ht="12.75">
      <c r="B1703" s="184"/>
      <c r="C1703" s="184"/>
    </row>
    <row r="1704" spans="2:3" ht="12.75">
      <c r="B1704" s="184"/>
      <c r="C1704" s="184"/>
    </row>
    <row r="1705" spans="2:3" ht="12.75">
      <c r="B1705" s="184"/>
      <c r="C1705" s="184"/>
    </row>
    <row r="1706" spans="2:3" ht="12.75">
      <c r="B1706" s="184"/>
      <c r="C1706" s="184"/>
    </row>
    <row r="1707" spans="2:3" ht="12.75">
      <c r="B1707" s="184"/>
      <c r="C1707" s="184"/>
    </row>
    <row r="1708" spans="2:3" ht="12.75">
      <c r="B1708" s="184"/>
      <c r="C1708" s="184"/>
    </row>
    <row r="1709" spans="2:3" ht="12.75">
      <c r="B1709" s="184"/>
      <c r="C1709" s="184"/>
    </row>
    <row r="1710" spans="2:3" ht="12.75">
      <c r="B1710" s="184"/>
      <c r="C1710" s="184"/>
    </row>
    <row r="1711" spans="2:3" ht="12.75">
      <c r="B1711" s="184"/>
      <c r="C1711" s="184"/>
    </row>
    <row r="1712" spans="2:3" ht="12.75">
      <c r="B1712" s="184"/>
      <c r="C1712" s="184"/>
    </row>
    <row r="1713" spans="2:3" ht="12.75">
      <c r="B1713" s="184"/>
      <c r="C1713" s="184"/>
    </row>
    <row r="1714" spans="2:3" ht="12.75">
      <c r="B1714" s="184"/>
      <c r="C1714" s="184"/>
    </row>
    <row r="1715" spans="2:3" ht="12.75">
      <c r="B1715" s="184"/>
      <c r="C1715" s="184"/>
    </row>
    <row r="1716" spans="2:3" ht="12.75">
      <c r="B1716" s="184"/>
      <c r="C1716" s="184"/>
    </row>
    <row r="1717" spans="2:3" ht="12.75">
      <c r="B1717" s="184"/>
      <c r="C1717" s="184"/>
    </row>
    <row r="1718" spans="2:3" ht="12.75">
      <c r="B1718" s="184"/>
      <c r="C1718" s="184"/>
    </row>
    <row r="1719" spans="2:3" ht="12.75">
      <c r="B1719" s="184"/>
      <c r="C1719" s="184"/>
    </row>
    <row r="1720" spans="2:3" ht="12.75">
      <c r="B1720" s="184"/>
      <c r="C1720" s="184"/>
    </row>
    <row r="1721" spans="2:3" ht="12.75">
      <c r="B1721" s="184"/>
      <c r="C1721" s="184"/>
    </row>
    <row r="1722" spans="2:3" ht="12.75">
      <c r="B1722" s="184"/>
      <c r="C1722" s="184"/>
    </row>
    <row r="1723" spans="2:3" ht="12.75">
      <c r="B1723" s="184"/>
      <c r="C1723" s="184"/>
    </row>
    <row r="1724" spans="2:3" ht="12.75">
      <c r="B1724" s="184"/>
      <c r="C1724" s="184"/>
    </row>
    <row r="1725" spans="2:3" ht="12.75">
      <c r="B1725" s="184"/>
      <c r="C1725" s="184"/>
    </row>
    <row r="1726" spans="2:3" ht="12.75">
      <c r="B1726" s="184"/>
      <c r="C1726" s="184"/>
    </row>
    <row r="1727" spans="2:3" ht="12.75">
      <c r="B1727" s="184"/>
      <c r="C1727" s="184"/>
    </row>
    <row r="1728" spans="2:3" ht="12.75">
      <c r="B1728" s="184"/>
      <c r="C1728" s="184"/>
    </row>
    <row r="1729" spans="2:3" ht="12.75">
      <c r="B1729" s="184"/>
      <c r="C1729" s="184"/>
    </row>
    <row r="1730" spans="2:3" ht="12.75">
      <c r="B1730" s="184"/>
      <c r="C1730" s="184"/>
    </row>
    <row r="1731" spans="2:3" ht="12.75">
      <c r="B1731" s="184"/>
      <c r="C1731" s="184"/>
    </row>
    <row r="1732" spans="2:3" ht="12.75">
      <c r="B1732" s="184"/>
      <c r="C1732" s="184"/>
    </row>
    <row r="1733" spans="2:3" ht="12.75">
      <c r="B1733" s="184"/>
      <c r="C1733" s="184"/>
    </row>
    <row r="1734" spans="2:3" ht="12.75">
      <c r="B1734" s="184"/>
      <c r="C1734" s="184"/>
    </row>
    <row r="1735" spans="2:3" ht="12.75">
      <c r="B1735" s="184"/>
      <c r="C1735" s="184"/>
    </row>
    <row r="1736" spans="2:3" ht="12.75">
      <c r="B1736" s="184"/>
      <c r="C1736" s="184"/>
    </row>
    <row r="1737" spans="2:3" ht="12.75">
      <c r="B1737" s="184"/>
      <c r="C1737" s="184"/>
    </row>
    <row r="1738" spans="2:3" ht="12.75">
      <c r="B1738" s="184"/>
      <c r="C1738" s="184"/>
    </row>
    <row r="1739" spans="2:3" ht="12.75">
      <c r="B1739" s="184"/>
      <c r="C1739" s="184"/>
    </row>
    <row r="1740" spans="2:3" ht="12.75">
      <c r="B1740" s="184"/>
      <c r="C1740" s="184"/>
    </row>
    <row r="1741" spans="2:3" ht="12.75">
      <c r="B1741" s="184"/>
      <c r="C1741" s="184"/>
    </row>
    <row r="1742" spans="2:3" ht="12.75">
      <c r="B1742" s="184"/>
      <c r="C1742" s="184"/>
    </row>
    <row r="1743" spans="2:3" ht="12.75">
      <c r="B1743" s="184"/>
      <c r="C1743" s="184"/>
    </row>
    <row r="1744" spans="2:3" ht="12.75">
      <c r="B1744" s="184"/>
      <c r="C1744" s="184"/>
    </row>
    <row r="1745" spans="2:3" ht="12.75">
      <c r="B1745" s="184"/>
      <c r="C1745" s="184"/>
    </row>
    <row r="1746" spans="2:3" ht="12.75">
      <c r="B1746" s="184"/>
      <c r="C1746" s="184"/>
    </row>
    <row r="1747" spans="2:3" ht="12.75">
      <c r="B1747" s="184"/>
      <c r="C1747" s="184"/>
    </row>
    <row r="1748" spans="2:3" ht="12.75">
      <c r="B1748" s="184"/>
      <c r="C1748" s="184"/>
    </row>
    <row r="1749" spans="2:3" ht="12.75">
      <c r="B1749" s="184"/>
      <c r="C1749" s="184"/>
    </row>
    <row r="1750" spans="2:3" ht="12.75">
      <c r="B1750" s="184"/>
      <c r="C1750" s="184"/>
    </row>
    <row r="1751" spans="2:3" ht="12.75">
      <c r="B1751" s="184"/>
      <c r="C1751" s="184"/>
    </row>
    <row r="1752" spans="2:3" ht="12.75">
      <c r="B1752" s="184"/>
      <c r="C1752" s="184"/>
    </row>
    <row r="1753" spans="2:3" ht="12.75">
      <c r="B1753" s="184"/>
      <c r="C1753" s="184"/>
    </row>
    <row r="1754" spans="2:3" ht="12.75">
      <c r="B1754" s="184"/>
      <c r="C1754" s="184"/>
    </row>
    <row r="1755" spans="2:3" ht="12.75">
      <c r="B1755" s="184"/>
      <c r="C1755" s="184"/>
    </row>
    <row r="1756" spans="2:3" ht="12.75">
      <c r="B1756" s="184"/>
      <c r="C1756" s="184"/>
    </row>
    <row r="1757" spans="2:3" ht="12.75">
      <c r="B1757" s="184"/>
      <c r="C1757" s="184"/>
    </row>
    <row r="1758" spans="2:3" ht="12.75">
      <c r="B1758" s="184"/>
      <c r="C1758" s="184"/>
    </row>
    <row r="1759" spans="2:3" ht="12.75">
      <c r="B1759" s="184"/>
      <c r="C1759" s="184"/>
    </row>
    <row r="1760" spans="2:3" ht="12.75">
      <c r="B1760" s="184"/>
      <c r="C1760" s="184"/>
    </row>
    <row r="1761" spans="2:3" ht="12.75">
      <c r="B1761" s="184"/>
      <c r="C1761" s="184"/>
    </row>
    <row r="1762" spans="2:3" ht="12.75">
      <c r="B1762" s="184"/>
      <c r="C1762" s="184"/>
    </row>
    <row r="1763" spans="2:3" ht="12.75">
      <c r="B1763" s="184"/>
      <c r="C1763" s="184"/>
    </row>
    <row r="1764" spans="2:3" ht="12.75">
      <c r="B1764" s="184"/>
      <c r="C1764" s="184"/>
    </row>
    <row r="1765" spans="2:3" ht="12.75">
      <c r="B1765" s="184"/>
      <c r="C1765" s="184"/>
    </row>
    <row r="1766" spans="2:3" ht="12.75">
      <c r="B1766" s="184"/>
      <c r="C1766" s="184"/>
    </row>
    <row r="1767" spans="2:3" ht="12.75">
      <c r="B1767" s="184"/>
      <c r="C1767" s="184"/>
    </row>
    <row r="1768" spans="2:3" ht="12.75">
      <c r="B1768" s="184"/>
      <c r="C1768" s="184"/>
    </row>
    <row r="1769" spans="2:3" ht="12.75">
      <c r="B1769" s="184"/>
      <c r="C1769" s="184"/>
    </row>
    <row r="1770" spans="2:3" ht="12.75">
      <c r="B1770" s="184"/>
      <c r="C1770" s="184"/>
    </row>
    <row r="1771" spans="2:3" ht="12.75">
      <c r="B1771" s="184"/>
      <c r="C1771" s="184"/>
    </row>
    <row r="1772" spans="2:3" ht="12.75">
      <c r="B1772" s="184"/>
      <c r="C1772" s="184"/>
    </row>
    <row r="1773" spans="2:3" ht="12.75">
      <c r="B1773" s="184"/>
      <c r="C1773" s="184"/>
    </row>
    <row r="1774" spans="2:3" ht="12.75">
      <c r="B1774" s="184"/>
      <c r="C1774" s="184"/>
    </row>
    <row r="1775" spans="2:3" ht="12.75">
      <c r="B1775" s="184"/>
      <c r="C1775" s="184"/>
    </row>
    <row r="1776" spans="2:3" ht="12.75">
      <c r="B1776" s="184"/>
      <c r="C1776" s="184"/>
    </row>
    <row r="1777" spans="2:3" ht="12.75">
      <c r="B1777" s="184"/>
      <c r="C1777" s="184"/>
    </row>
    <row r="1778" spans="2:3" ht="12.75">
      <c r="B1778" s="184"/>
      <c r="C1778" s="184"/>
    </row>
    <row r="1779" spans="2:3" ht="12.75">
      <c r="B1779" s="184"/>
      <c r="C1779" s="184"/>
    </row>
    <row r="1780" spans="2:3" ht="12.75">
      <c r="B1780" s="184"/>
      <c r="C1780" s="184"/>
    </row>
    <row r="1781" spans="2:3" ht="12.75">
      <c r="B1781" s="184"/>
      <c r="C1781" s="184"/>
    </row>
    <row r="1782" spans="2:3" ht="12.75">
      <c r="B1782" s="184"/>
      <c r="C1782" s="184"/>
    </row>
    <row r="1783" spans="2:3" ht="12.75">
      <c r="B1783" s="184"/>
      <c r="C1783" s="184"/>
    </row>
    <row r="1784" spans="2:3" ht="12.75">
      <c r="B1784" s="184"/>
      <c r="C1784" s="184"/>
    </row>
    <row r="1785" spans="2:3" ht="12.75">
      <c r="B1785" s="184"/>
      <c r="C1785" s="184"/>
    </row>
    <row r="1786" spans="2:3" ht="12.75">
      <c r="B1786" s="184"/>
      <c r="C1786" s="184"/>
    </row>
    <row r="1787" spans="2:3" ht="12.75">
      <c r="B1787" s="184"/>
      <c r="C1787" s="184"/>
    </row>
    <row r="1788" spans="2:3" ht="12.75">
      <c r="B1788" s="184"/>
      <c r="C1788" s="184"/>
    </row>
    <row r="1789" spans="2:3" ht="12.75">
      <c r="B1789" s="184"/>
      <c r="C1789" s="184"/>
    </row>
    <row r="1790" spans="2:3" ht="12.75">
      <c r="B1790" s="184"/>
      <c r="C1790" s="184"/>
    </row>
    <row r="1791" spans="2:3" ht="12.75">
      <c r="B1791" s="184"/>
      <c r="C1791" s="184"/>
    </row>
    <row r="1792" spans="2:3" ht="12.75">
      <c r="B1792" s="184"/>
      <c r="C1792" s="184"/>
    </row>
    <row r="1793" spans="2:3" ht="12.75">
      <c r="B1793" s="184"/>
      <c r="C1793" s="184"/>
    </row>
    <row r="1794" spans="2:3" ht="12.75">
      <c r="B1794" s="184"/>
      <c r="C1794" s="184"/>
    </row>
    <row r="1795" spans="2:3" ht="12.75">
      <c r="B1795" s="184"/>
      <c r="C1795" s="184"/>
    </row>
    <row r="1796" spans="2:3" ht="12.75">
      <c r="B1796" s="184"/>
      <c r="C1796" s="184"/>
    </row>
    <row r="1797" spans="2:3" ht="12.75">
      <c r="B1797" s="184"/>
      <c r="C1797" s="184"/>
    </row>
    <row r="1798" spans="2:3" ht="12.75">
      <c r="B1798" s="184"/>
      <c r="C1798" s="184"/>
    </row>
    <row r="1799" spans="2:3" ht="12.75">
      <c r="B1799" s="184"/>
      <c r="C1799" s="184"/>
    </row>
    <row r="1800" spans="2:3" ht="12.75">
      <c r="B1800" s="184"/>
      <c r="C1800" s="184"/>
    </row>
    <row r="1801" spans="2:3" ht="12.75">
      <c r="B1801" s="184"/>
      <c r="C1801" s="184"/>
    </row>
    <row r="1802" spans="2:3" ht="12.75">
      <c r="B1802" s="184"/>
      <c r="C1802" s="184"/>
    </row>
    <row r="1803" spans="2:3" ht="12.75">
      <c r="B1803" s="184"/>
      <c r="C1803" s="184"/>
    </row>
    <row r="1804" spans="2:3" ht="12.75">
      <c r="B1804" s="184"/>
      <c r="C1804" s="184"/>
    </row>
    <row r="1805" spans="2:3" ht="12.75">
      <c r="B1805" s="184"/>
      <c r="C1805" s="184"/>
    </row>
  </sheetData>
  <sheetProtection sheet="1" objects="1" scenarios="1"/>
  <mergeCells count="63">
    <mergeCell ref="AZ251:BU251"/>
    <mergeCell ref="O251:AL251"/>
    <mergeCell ref="B228:F240"/>
    <mergeCell ref="AM250:AN250"/>
    <mergeCell ref="AO250:AP250"/>
    <mergeCell ref="AQ250:AY250"/>
    <mergeCell ref="B245:D247"/>
    <mergeCell ref="C66:D67"/>
    <mergeCell ref="C70:D71"/>
    <mergeCell ref="E145:F145"/>
    <mergeCell ref="B255:D257"/>
    <mergeCell ref="B170:F173"/>
    <mergeCell ref="B223:F225"/>
    <mergeCell ref="B120:F122"/>
    <mergeCell ref="B94:F98"/>
    <mergeCell ref="C100:D101"/>
    <mergeCell ref="E138:F138"/>
    <mergeCell ref="D12:E12"/>
    <mergeCell ref="D13:E13"/>
    <mergeCell ref="D14:E14"/>
    <mergeCell ref="D15:E15"/>
    <mergeCell ref="D16:E16"/>
    <mergeCell ref="C78:D79"/>
    <mergeCell ref="C80:D82"/>
    <mergeCell ref="C85:D86"/>
    <mergeCell ref="C40:D41"/>
    <mergeCell ref="B20:F30"/>
    <mergeCell ref="C68:D69"/>
    <mergeCell ref="B37:F37"/>
    <mergeCell ref="C48:D49"/>
    <mergeCell ref="C60:D61"/>
    <mergeCell ref="E142:F142"/>
    <mergeCell ref="E141:F141"/>
    <mergeCell ref="E143:F143"/>
    <mergeCell ref="B206:D207"/>
    <mergeCell ref="B192:D193"/>
    <mergeCell ref="B152:F164"/>
    <mergeCell ref="B167:F169"/>
    <mergeCell ref="A175:G175"/>
    <mergeCell ref="B272:F284"/>
    <mergeCell ref="E144:F144"/>
    <mergeCell ref="B289:F290"/>
    <mergeCell ref="B7:F7"/>
    <mergeCell ref="B8:F8"/>
    <mergeCell ref="B104:F105"/>
    <mergeCell ref="B18:F18"/>
    <mergeCell ref="B91:F92"/>
    <mergeCell ref="B33:F35"/>
    <mergeCell ref="C56:D57"/>
    <mergeCell ref="C58:D59"/>
    <mergeCell ref="B106:F118"/>
    <mergeCell ref="B149:F151"/>
    <mergeCell ref="B135:F137"/>
    <mergeCell ref="B123:F128"/>
    <mergeCell ref="E139:F139"/>
    <mergeCell ref="E147:F147"/>
    <mergeCell ref="C129:D130"/>
    <mergeCell ref="C132:D133"/>
    <mergeCell ref="E146:F146"/>
    <mergeCell ref="B264:E264"/>
    <mergeCell ref="B268:F269"/>
    <mergeCell ref="B267:F267"/>
    <mergeCell ref="B265:F266"/>
  </mergeCells>
  <conditionalFormatting sqref="F206 F192">
    <cfRule type="cellIs" priority="1" dxfId="1" operator="notBetween" stopIfTrue="1">
      <formula>0</formula>
      <formula>999999999999</formula>
    </cfRule>
    <cfRule type="expression" priority="2" dxfId="1" stopIfTrue="1">
      <formula>I192=1</formula>
    </cfRule>
  </conditionalFormatting>
  <conditionalFormatting sqref="B264:E264">
    <cfRule type="expression" priority="3" dxfId="8" stopIfTrue="1">
      <formula>$F$264="accept"</formula>
    </cfRule>
    <cfRule type="expression" priority="4" dxfId="9" stopIfTrue="1">
      <formula>$F$263&lt;&gt;(F62+F64)</formula>
    </cfRule>
  </conditionalFormatting>
  <conditionalFormatting sqref="F221 F215 F217 F178 F180 F182 F184 F186 F188 F190 F194 F196 F198 F200 F202 F204 F209 F211 F213 F219 F245:F253 F255:F262">
    <cfRule type="cellIs" priority="5" dxfId="1" operator="notBetween" stopIfTrue="1">
      <formula>0</formula>
      <formula>999999999999</formula>
    </cfRule>
  </conditionalFormatting>
  <conditionalFormatting sqref="F88">
    <cfRule type="expression" priority="6" dxfId="1" stopIfTrue="1">
      <formula>$I$88=2</formula>
    </cfRule>
    <cfRule type="expression" priority="7" dxfId="2" stopIfTrue="1">
      <formula>$I$88=1</formula>
    </cfRule>
  </conditionalFormatting>
  <conditionalFormatting sqref="E141:F141">
    <cfRule type="expression" priority="8" dxfId="1" stopIfTrue="1">
      <formula>OR((ISTEXT($E$140)),$E$140&lt;0)</formula>
    </cfRule>
    <cfRule type="expression" priority="9" dxfId="1" stopIfTrue="1">
      <formula>AND((ISNUMBER($E$140)),$K$140&lt;&gt;$E$140)</formula>
    </cfRule>
  </conditionalFormatting>
  <conditionalFormatting sqref="F263">
    <cfRule type="expression" priority="10" dxfId="10" stopIfTrue="1">
      <formula>$F$244="Please ensure all boxes below have a value entered"</formula>
    </cfRule>
    <cfRule type="cellIs" priority="11" dxfId="2" operator="notEqual" stopIfTrue="1">
      <formula>$F$64+$F$66</formula>
    </cfRule>
  </conditionalFormatting>
  <conditionalFormatting sqref="E143:F143">
    <cfRule type="expression" priority="12" dxfId="1" stopIfTrue="1">
      <formula>OR(ISTEXT($E$143),$E$143&lt;0)</formula>
    </cfRule>
    <cfRule type="expression" priority="13" dxfId="2" stopIfTrue="1">
      <formula>$E$143&lt;&gt;$K$143</formula>
    </cfRule>
  </conditionalFormatting>
  <conditionalFormatting sqref="E146:F146">
    <cfRule type="expression" priority="14" dxfId="1" stopIfTrue="1">
      <formula>OR(ISTEXT($E$146),$E$146&lt;0)</formula>
    </cfRule>
    <cfRule type="expression" priority="15" dxfId="2" stopIfTrue="1">
      <formula>AND($K$144&lt;39.5,$K$144&gt;29.5,$E$146&lt;&gt;$K$145)</formula>
    </cfRule>
    <cfRule type="expression" priority="16" dxfId="2" stopIfTrue="1">
      <formula>AND($E$146&gt;0,NOT(AND($K$144&lt;39.5,$K$144&gt;29.5)))</formula>
    </cfRule>
  </conditionalFormatting>
  <conditionalFormatting sqref="E147:F147">
    <cfRule type="expression" priority="17" dxfId="1" stopIfTrue="1">
      <formula>OR(ISTEXT($E$147),$E$147&lt;0)</formula>
    </cfRule>
    <cfRule type="expression" priority="18" dxfId="2" stopIfTrue="1">
      <formula>AND($K$144&lt;49.5,$K$144&gt;39.5,$E$147&lt;&gt;$K$145)</formula>
    </cfRule>
    <cfRule type="expression" priority="19" dxfId="2" stopIfTrue="1">
      <formula>AND($E$147&gt;0,NOT(AND($K$144&lt;49.5,$K$144&gt;39.5)))</formula>
    </cfRule>
  </conditionalFormatting>
  <conditionalFormatting sqref="E145:F145">
    <cfRule type="expression" priority="20" dxfId="1" stopIfTrue="1">
      <formula>OR(ISTEXT($E$145),$E$145&lt;0)</formula>
    </cfRule>
    <cfRule type="expression" priority="21" dxfId="2" stopIfTrue="1">
      <formula>AND($K$144&lt;29.5,$K$144&gt;19.5,$E$145&lt;&gt;$K$145)</formula>
    </cfRule>
    <cfRule type="expression" priority="22" dxfId="2" stopIfTrue="1">
      <formula>AND($E$145&gt;0,NOT(AND($K$144&lt;29.5,$K$144&gt;19.5)))</formula>
    </cfRule>
  </conditionalFormatting>
  <conditionalFormatting sqref="E144:F144">
    <cfRule type="expression" priority="23" dxfId="1" stopIfTrue="1">
      <formula>OR(ISTEXT($E$144),$E$144&lt;0)</formula>
    </cfRule>
    <cfRule type="expression" priority="24" dxfId="2" stopIfTrue="1">
      <formula>AND($K$144&lt;19.5,$K$144&gt;10.5,$E$144&lt;&gt;$K$145)</formula>
    </cfRule>
    <cfRule type="expression" priority="25" dxfId="2" stopIfTrue="1">
      <formula>AND($E$144&gt;0,NOT(AND($K$144&lt;19.5,$K$144&gt;10)))</formula>
    </cfRule>
  </conditionalFormatting>
  <conditionalFormatting sqref="E142:F142">
    <cfRule type="expression" priority="26" dxfId="1" stopIfTrue="1">
      <formula>OR(ISTEXT($E$142),$E$142&lt;0)</formula>
    </cfRule>
    <cfRule type="expression" priority="27" dxfId="2" stopIfTrue="1">
      <formula>AND($K$144&lt;9.5,$K$144&gt;0,$E$142&lt;&gt;$K$145)</formula>
    </cfRule>
    <cfRule type="expression" priority="28" dxfId="2" stopIfTrue="1">
      <formula>AND($E$142&gt;0,NOT(AND($K$144&lt;9.5,$K$144&gt;0)))</formula>
    </cfRule>
  </conditionalFormatting>
  <conditionalFormatting sqref="D144">
    <cfRule type="expression" priority="29" dxfId="1" stopIfTrue="1">
      <formula>SUM($D$143:$D$147)&gt;$K$140</formula>
    </cfRule>
    <cfRule type="expression" priority="30" dxfId="1" stopIfTrue="1">
      <formula>OR(ISTEXT($D144),$D144&lt;0)</formula>
    </cfRule>
  </conditionalFormatting>
  <conditionalFormatting sqref="D145">
    <cfRule type="expression" priority="31" dxfId="1" stopIfTrue="1">
      <formula>SUM($D$143:$D$147)&gt;$K$140</formula>
    </cfRule>
    <cfRule type="expression" priority="32" dxfId="1" stopIfTrue="1">
      <formula>OR(ISTEXT($D145),$D145&lt;0)</formula>
    </cfRule>
  </conditionalFormatting>
  <conditionalFormatting sqref="D146">
    <cfRule type="expression" priority="33" dxfId="1" stopIfTrue="1">
      <formula>SUM($D$143:$D$147)&gt;$K$140</formula>
    </cfRule>
    <cfRule type="expression" priority="34" dxfId="1" stopIfTrue="1">
      <formula>OR(ISTEXT($D146),$D146&lt;0)</formula>
    </cfRule>
  </conditionalFormatting>
  <conditionalFormatting sqref="D147">
    <cfRule type="expression" priority="35" dxfId="1" stopIfTrue="1">
      <formula>SUM($D$143:$D$147)&gt;$K$140</formula>
    </cfRule>
    <cfRule type="expression" priority="36" dxfId="1" stopIfTrue="1">
      <formula>OR(ISTEXT($D147),$D147&lt;0)</formula>
    </cfRule>
  </conditionalFormatting>
  <conditionalFormatting sqref="D143">
    <cfRule type="expression" priority="37" dxfId="1" stopIfTrue="1">
      <formula>SUM($D$143:$D$147)&gt;$K$140</formula>
    </cfRule>
    <cfRule type="expression" priority="38" dxfId="1" stopIfTrue="1">
      <formula>OR(ISTEXT($D143),$D143&lt;0)</formula>
    </cfRule>
  </conditionalFormatting>
  <conditionalFormatting sqref="F264">
    <cfRule type="expression" priority="39" dxfId="8" stopIfTrue="1">
      <formula>$B$264=""</formula>
    </cfRule>
    <cfRule type="expression" priority="40" dxfId="11" stopIfTrue="1">
      <formula>$F$264="accept"</formula>
    </cfRule>
    <cfRule type="expression" priority="41" dxfId="12" stopIfTrue="1">
      <formula>$F$263&lt;&gt;(J64+J66)</formula>
    </cfRule>
  </conditionalFormatting>
  <dataValidations count="9">
    <dataValidation type="whole" operator="greaterThanOrEqual" allowBlank="1" showInputMessage="1" showErrorMessage="1" errorTitle="Inplausible entry" error="You can not enter negative numbers or text." sqref="F40 F42 F44 F46 F52 F50 F48 F54 F56 F58 F60 F62 F64 F66 F68 F70 F72 F74 F76 F78 F80 F83 F85">
      <formula1>0</formula1>
    </dataValidation>
    <dataValidation type="whole" allowBlank="1" showInputMessage="1" showErrorMessage="1" error="Must be a positive number" sqref="F253">
      <formula1>0</formula1>
      <formula2>9999999999999</formula2>
    </dataValidation>
    <dataValidation type="whole" allowBlank="1" showInputMessage="1" showErrorMessage="1" errorTitle="Inplausible entry " error="You can not enter negative numbers or text." sqref="F178 F180 F182 F184 F186 F188 F190 F194 F196 F198 F200 F202 F204 F209 F211 F213 F215 F217 F219 F221">
      <formula1>0</formula1>
      <formula2>9999999999999</formula2>
    </dataValidation>
    <dataValidation type="whole" allowBlank="1" showInputMessage="1" showErrorMessage="1" errorTitle="Inplausible entry" error="You can not enter negative numbers or text." sqref="F245:F252 F255:F262">
      <formula1>0</formula1>
      <formula2>9999999999999</formula2>
    </dataValidation>
    <dataValidation type="custom" operator="lessThan" allowBlank="1" showInputMessage="1" showErrorMessage="1" errorTitle="Inplausible entry " error="Should be a positve figure less than or equal to line 12 + line 13 + line 14" sqref="F192 F206">
      <formula1>I192=0</formula1>
    </dataValidation>
    <dataValidation type="whole" operator="greaterThanOrEqual" allowBlank="1" showErrorMessage="1" errorTitle="Invalid entry" error="Must be a value greater than or equal to the total number long-term empty dwellings in Line 14 of the main CTB form." sqref="E142:F147">
      <formula1>0</formula1>
    </dataValidation>
    <dataValidation type="whole" operator="greaterThanOrEqual" allowBlank="1" showErrorMessage="1" errorTitle="Invalid entry" error="Not the same value as entered in Line 14 of the main CTB form." sqref="E141:F141">
      <formula1>K140</formula1>
    </dataValidation>
    <dataValidation type="custom" allowBlank="1" showErrorMessage="1" errorTitle="Inconsistent entry" error="You can not have more second homes getting recuced discount than the total number of second homes in the local authority" sqref="D143:D147">
      <formula1>SUM($D$142:$D$146)&lt;=$K$139</formula1>
    </dataValidation>
    <dataValidation type="list" allowBlank="1" showInputMessage="1" showErrorMessage="1" promptTitle="Yes" sqref="F264">
      <formula1>$H$264:$I$264</formula1>
    </dataValidation>
  </dataValidations>
  <printOptions/>
  <pageMargins left="0.7480314960629921" right="0.7480314960629921" top="0.984251968503937" bottom="0.984251968503937" header="0.5118110236220472" footer="0.5118110236220472"/>
  <pageSetup fitToHeight="3" horizontalDpi="600" verticalDpi="600" orientation="portrait" paperSize="9" scale="46" r:id="rId3"/>
  <headerFooter alignWithMargins="0">
    <oddHeader>&amp;C&amp;A</oddHeader>
    <oddFooter>&amp;LPrinted at &amp;T on &amp;D&amp;RPage &amp;P of &amp;N</oddFooter>
  </headerFooter>
  <rowBreaks count="3" manualBreakCount="3">
    <brk id="89" max="6" man="1"/>
    <brk id="165" max="6" man="1"/>
    <brk id="241" max="6" man="1"/>
  </rowBreaks>
  <drawing r:id="rId2"/>
  <legacyDrawing r:id="rId1"/>
</worksheet>
</file>

<file path=xl/worksheets/sheet4.xml><?xml version="1.0" encoding="utf-8"?>
<worksheet xmlns="http://schemas.openxmlformats.org/spreadsheetml/2006/main" xmlns:r="http://schemas.openxmlformats.org/officeDocument/2006/relationships">
  <dimension ref="A1:U197"/>
  <sheetViews>
    <sheetView showGridLines="0" view="pageBreakPreview" zoomScale="75" zoomScaleNormal="50" zoomScaleSheetLayoutView="75" workbookViewId="0" topLeftCell="A1">
      <pane xSplit="1" ySplit="8" topLeftCell="B110" activePane="bottomRight" state="frozen"/>
      <selection pane="topLeft" activeCell="A1" sqref="A1"/>
      <selection pane="topRight" activeCell="B1" sqref="B1"/>
      <selection pane="bottomLeft" activeCell="A9" sqref="A9"/>
      <selection pane="bottomRight" activeCell="D20" sqref="D20:P20"/>
    </sheetView>
  </sheetViews>
  <sheetFormatPr defaultColWidth="9.140625" defaultRowHeight="12.75"/>
  <cols>
    <col min="1" max="1" width="3.140625" style="57" customWidth="1"/>
    <col min="2" max="2" width="64.28125" style="57" customWidth="1"/>
    <col min="3" max="3" width="22.140625" style="113" bestFit="1" customWidth="1"/>
    <col min="4" max="4" width="16.8515625" style="57" customWidth="1"/>
    <col min="5" max="13" width="12.421875" style="57" customWidth="1"/>
    <col min="14" max="14" width="9.140625" style="57" customWidth="1"/>
    <col min="15" max="16" width="35.7109375" style="57" customWidth="1"/>
    <col min="17" max="17" width="9.140625" style="57" customWidth="1"/>
    <col min="18" max="18" width="11.140625" style="57" bestFit="1" customWidth="1"/>
    <col min="19" max="16384" width="9.140625" style="57" customWidth="1"/>
  </cols>
  <sheetData>
    <row r="1" spans="1:16" ht="13.5" thickBot="1">
      <c r="A1" s="54"/>
      <c r="B1" s="55"/>
      <c r="C1" s="105"/>
      <c r="D1" s="55"/>
      <c r="E1" s="55"/>
      <c r="F1" s="55"/>
      <c r="G1" s="55"/>
      <c r="H1" s="55"/>
      <c r="I1" s="55"/>
      <c r="J1" s="55"/>
      <c r="K1" s="55"/>
      <c r="L1" s="55"/>
      <c r="M1" s="55"/>
      <c r="N1" s="55"/>
      <c r="O1" s="55"/>
      <c r="P1" s="56"/>
    </row>
    <row r="2" spans="1:16" ht="18.75" thickBot="1">
      <c r="A2" s="58"/>
      <c r="B2" s="59"/>
      <c r="C2" s="106" t="str">
        <f>'CTB Form'!D17</f>
        <v>Brent</v>
      </c>
      <c r="D2" s="59"/>
      <c r="E2" s="59"/>
      <c r="F2" s="59"/>
      <c r="G2" s="59"/>
      <c r="H2" s="59"/>
      <c r="I2" s="59"/>
      <c r="J2" s="59"/>
      <c r="K2" s="59"/>
      <c r="L2" s="59"/>
      <c r="M2" s="59"/>
      <c r="N2" s="181"/>
      <c r="O2" s="181"/>
      <c r="P2" s="182"/>
    </row>
    <row r="3" spans="1:16" ht="18">
      <c r="A3" s="814"/>
      <c r="B3" s="815"/>
      <c r="C3" s="815"/>
      <c r="D3" s="815"/>
      <c r="E3" s="815"/>
      <c r="F3" s="815"/>
      <c r="G3" s="815"/>
      <c r="H3" s="815"/>
      <c r="I3" s="815"/>
      <c r="J3" s="815"/>
      <c r="K3" s="815"/>
      <c r="L3" s="815"/>
      <c r="M3" s="815"/>
      <c r="N3" s="181"/>
      <c r="O3" s="181"/>
      <c r="P3" s="182"/>
    </row>
    <row r="4" spans="1:16" ht="18">
      <c r="A4" s="814" t="s">
        <v>1016</v>
      </c>
      <c r="B4" s="815"/>
      <c r="C4" s="815"/>
      <c r="D4" s="815"/>
      <c r="E4" s="815"/>
      <c r="F4" s="815"/>
      <c r="G4" s="815"/>
      <c r="H4" s="815"/>
      <c r="I4" s="815"/>
      <c r="J4" s="815"/>
      <c r="K4" s="815"/>
      <c r="L4" s="815"/>
      <c r="M4" s="815"/>
      <c r="N4" s="181"/>
      <c r="O4" s="181"/>
      <c r="P4" s="182"/>
    </row>
    <row r="5" spans="1:16" ht="18" customHeight="1">
      <c r="A5" s="810" t="s">
        <v>61</v>
      </c>
      <c r="B5" s="811"/>
      <c r="C5" s="811"/>
      <c r="D5" s="811"/>
      <c r="E5" s="811"/>
      <c r="F5" s="811"/>
      <c r="G5" s="811"/>
      <c r="H5" s="811"/>
      <c r="I5" s="811"/>
      <c r="J5" s="811"/>
      <c r="K5" s="811"/>
      <c r="L5" s="811"/>
      <c r="M5" s="811"/>
      <c r="N5" s="811"/>
      <c r="O5" s="811"/>
      <c r="P5" s="812"/>
    </row>
    <row r="6" spans="1:16" ht="18" customHeight="1">
      <c r="A6" s="813"/>
      <c r="B6" s="811"/>
      <c r="C6" s="811"/>
      <c r="D6" s="811"/>
      <c r="E6" s="811"/>
      <c r="F6" s="811"/>
      <c r="G6" s="811"/>
      <c r="H6" s="811"/>
      <c r="I6" s="811"/>
      <c r="J6" s="811"/>
      <c r="K6" s="811"/>
      <c r="L6" s="811"/>
      <c r="M6" s="811"/>
      <c r="N6" s="811"/>
      <c r="O6" s="811"/>
      <c r="P6" s="812"/>
    </row>
    <row r="7" spans="1:16" ht="13.5" thickBot="1">
      <c r="A7" s="60"/>
      <c r="B7" s="61"/>
      <c r="C7" s="107"/>
      <c r="D7" s="61"/>
      <c r="E7" s="61"/>
      <c r="F7" s="61"/>
      <c r="G7" s="61"/>
      <c r="H7" s="61"/>
      <c r="I7" s="61"/>
      <c r="J7" s="61"/>
      <c r="K7" s="61"/>
      <c r="L7" s="61"/>
      <c r="M7" s="61"/>
      <c r="N7" s="61"/>
      <c r="O7" s="61"/>
      <c r="P7" s="62"/>
    </row>
    <row r="8" spans="2:16" ht="51.75" thickBot="1">
      <c r="B8" s="84"/>
      <c r="C8" s="95"/>
      <c r="D8" s="272" t="s">
        <v>921</v>
      </c>
      <c r="E8" s="272" t="s">
        <v>885</v>
      </c>
      <c r="F8" s="272" t="s">
        <v>886</v>
      </c>
      <c r="G8" s="272" t="s">
        <v>887</v>
      </c>
      <c r="H8" s="272" t="s">
        <v>888</v>
      </c>
      <c r="I8" s="272" t="s">
        <v>889</v>
      </c>
      <c r="J8" s="272" t="s">
        <v>891</v>
      </c>
      <c r="K8" s="272" t="s">
        <v>890</v>
      </c>
      <c r="L8" s="272" t="s">
        <v>892</v>
      </c>
      <c r="M8" s="272" t="s">
        <v>893</v>
      </c>
      <c r="N8" s="84"/>
      <c r="O8" s="84"/>
      <c r="P8" s="84"/>
    </row>
    <row r="9" spans="1:16" ht="13.5" thickTop="1">
      <c r="A9" s="816" t="s">
        <v>919</v>
      </c>
      <c r="B9" s="84"/>
      <c r="C9" s="95"/>
      <c r="D9" s="798"/>
      <c r="E9" s="799"/>
      <c r="F9" s="799"/>
      <c r="G9" s="799"/>
      <c r="H9" s="799"/>
      <c r="I9" s="799"/>
      <c r="J9" s="799"/>
      <c r="K9" s="799"/>
      <c r="L9" s="799"/>
      <c r="M9" s="799"/>
      <c r="N9" s="799"/>
      <c r="O9" s="799"/>
      <c r="P9" s="799"/>
    </row>
    <row r="10" spans="1:16" ht="12.75">
      <c r="A10" s="817"/>
      <c r="B10" s="90"/>
      <c r="C10" s="78"/>
      <c r="D10" s="68"/>
      <c r="E10" s="68"/>
      <c r="F10" s="68"/>
      <c r="G10" s="84"/>
      <c r="H10" s="84"/>
      <c r="I10" s="84"/>
      <c r="J10" s="84"/>
      <c r="K10" s="84"/>
      <c r="L10" s="84"/>
      <c r="M10" s="84"/>
      <c r="N10" s="84"/>
      <c r="O10" s="84"/>
      <c r="P10" s="84"/>
    </row>
    <row r="11" spans="1:21" ht="15.75">
      <c r="A11" s="817"/>
      <c r="B11" s="91" t="s">
        <v>60</v>
      </c>
      <c r="C11" s="95"/>
      <c r="D11" s="84"/>
      <c r="E11" s="84"/>
      <c r="F11" s="84"/>
      <c r="G11" s="84"/>
      <c r="H11" s="84"/>
      <c r="I11" s="84"/>
      <c r="J11" s="84"/>
      <c r="K11" s="84"/>
      <c r="L11" s="84"/>
      <c r="M11" s="84"/>
      <c r="N11" s="84"/>
      <c r="O11" s="84"/>
      <c r="P11" s="84"/>
      <c r="Q11" s="369"/>
      <c r="R11" s="369"/>
      <c r="S11" s="369"/>
      <c r="T11" s="369"/>
      <c r="U11" s="369"/>
    </row>
    <row r="12" spans="1:21" ht="13.5" thickBot="1">
      <c r="A12" s="817"/>
      <c r="B12" s="84"/>
      <c r="C12" s="95"/>
      <c r="D12" s="84"/>
      <c r="E12" s="84"/>
      <c r="F12" s="84"/>
      <c r="G12" s="84"/>
      <c r="H12" s="84"/>
      <c r="I12" s="84"/>
      <c r="J12" s="84"/>
      <c r="K12" s="84"/>
      <c r="L12" s="84"/>
      <c r="M12" s="84"/>
      <c r="N12" s="84"/>
      <c r="O12" s="370">
        <f>U13</f>
      </c>
      <c r="P12" s="84"/>
      <c r="Q12" s="369"/>
      <c r="R12" s="369"/>
      <c r="S12" s="369"/>
      <c r="T12" s="369"/>
      <c r="U12" s="369"/>
    </row>
    <row r="13" spans="1:21" ht="23.25">
      <c r="A13" s="817"/>
      <c r="B13" s="65" t="s">
        <v>28</v>
      </c>
      <c r="C13" s="108"/>
      <c r="D13" s="81"/>
      <c r="E13" s="93">
        <f>+'CTB Form'!E26</f>
        <v>2436</v>
      </c>
      <c r="F13" s="93">
        <f>+'CTB Form'!F26</f>
        <v>11477</v>
      </c>
      <c r="G13" s="93">
        <f>+'CTB Form'!G26</f>
        <v>31707</v>
      </c>
      <c r="H13" s="93">
        <f>+'CTB Form'!H26</f>
        <v>29988</v>
      </c>
      <c r="I13" s="93">
        <f>+'CTB Form'!I26</f>
        <v>21545</v>
      </c>
      <c r="J13" s="93">
        <f>+'CTB Form'!J26</f>
        <v>6170</v>
      </c>
      <c r="K13" s="93">
        <f>+'CTB Form'!K26</f>
        <v>3333</v>
      </c>
      <c r="L13" s="93">
        <f>+'CTB Form'!L26</f>
        <v>258</v>
      </c>
      <c r="M13" s="93">
        <f>+'CTB Form'!M26</f>
        <v>106914</v>
      </c>
      <c r="N13" s="84"/>
      <c r="O13" s="800"/>
      <c r="P13" s="801"/>
      <c r="Q13" s="371">
        <f>IF(AND((SUM(E17:M17)&lt;&gt;0),O13=""),1,0)</f>
        <v>0</v>
      </c>
      <c r="R13" s="371">
        <f>IF(AND((SUM(E17:M17)=0),O13=""),0,1)</f>
        <v>0</v>
      </c>
      <c r="S13" s="371">
        <f>IF(AND((SUM(E17:M17)=0),O13&lt;&gt;""),2,0)</f>
        <v>0</v>
      </c>
      <c r="T13" s="372">
        <f>SUM(Q13:S13)</f>
        <v>0</v>
      </c>
      <c r="U13" s="371">
        <f>IF(ISNUMBER(T13)=FALSE,"please delete invalid data entry on form",IF(T13=0,"",IF(T13=1,"Reason for differences",IF(T13=3,"No reason required, please DELETE entry below",IF(T13=2,"Please enter reason for differences in appropriate cell(s) below","")))))</f>
      </c>
    </row>
    <row r="14" spans="1:21" ht="20.25">
      <c r="A14" s="817"/>
      <c r="B14" s="65" t="s">
        <v>918</v>
      </c>
      <c r="C14" s="108"/>
      <c r="D14" s="73"/>
      <c r="E14" s="87">
        <f>VLOOKUP('CTB Form'!$G$5,Data!$A$9:$DT$364,116,FALSE)</f>
        <v>2436</v>
      </c>
      <c r="F14" s="87">
        <f>VLOOKUP('CTB Form'!$G$5,Data!$A$9:$DT$364,117,FALSE)</f>
        <v>11477</v>
      </c>
      <c r="G14" s="87">
        <f>VLOOKUP('CTB Form'!$G$5,Data!$A$9:$DT$364,118,FALSE)</f>
        <v>31707</v>
      </c>
      <c r="H14" s="87">
        <f>VLOOKUP('CTB Form'!$G$5,Data!$A$9:$DT$364,119,FALSE)</f>
        <v>29988</v>
      </c>
      <c r="I14" s="87">
        <f>VLOOKUP('CTB Form'!$G$5,Data!$A$9:$DT$364,120,FALSE)</f>
        <v>21545</v>
      </c>
      <c r="J14" s="87">
        <f>VLOOKUP('CTB Form'!$G$5,Data!$A$9:$DT$364,121,FALSE)</f>
        <v>6170</v>
      </c>
      <c r="K14" s="87">
        <f>VLOOKUP('CTB Form'!$G$5,Data!$A$9:$DT$364,122,FALSE)</f>
        <v>3333</v>
      </c>
      <c r="L14" s="87">
        <f>VLOOKUP('CTB Form'!$G$5,Data!$A$9:$DT$364,123,FALSE)</f>
        <v>258</v>
      </c>
      <c r="M14" s="87">
        <f>VLOOKUP('CTB Form'!$G$5,Data!$A$9:$DT$364,124,FALSE)</f>
        <v>106914</v>
      </c>
      <c r="N14" s="84"/>
      <c r="O14" s="802"/>
      <c r="P14" s="803"/>
      <c r="Q14" s="373"/>
      <c r="R14" s="373"/>
      <c r="S14" s="373"/>
      <c r="T14" s="373"/>
      <c r="U14" s="373"/>
    </row>
    <row r="15" spans="1:21" ht="15">
      <c r="A15" s="817"/>
      <c r="B15" s="94" t="s">
        <v>29</v>
      </c>
      <c r="C15" s="102" t="s">
        <v>894</v>
      </c>
      <c r="D15" s="82"/>
      <c r="E15" s="93">
        <f>E13-E14</f>
        <v>0</v>
      </c>
      <c r="F15" s="93">
        <f aca="true" t="shared" si="0" ref="F15:M15">F13-F14</f>
        <v>0</v>
      </c>
      <c r="G15" s="93">
        <f t="shared" si="0"/>
        <v>0</v>
      </c>
      <c r="H15" s="93">
        <f t="shared" si="0"/>
        <v>0</v>
      </c>
      <c r="I15" s="93">
        <f t="shared" si="0"/>
        <v>0</v>
      </c>
      <c r="J15" s="93">
        <f t="shared" si="0"/>
        <v>0</v>
      </c>
      <c r="K15" s="93">
        <f t="shared" si="0"/>
        <v>0</v>
      </c>
      <c r="L15" s="93">
        <f t="shared" si="0"/>
        <v>0</v>
      </c>
      <c r="M15" s="93">
        <f t="shared" si="0"/>
        <v>0</v>
      </c>
      <c r="N15" s="84"/>
      <c r="O15" s="802"/>
      <c r="P15" s="803"/>
      <c r="Q15" s="369"/>
      <c r="R15" s="369"/>
      <c r="S15" s="369"/>
      <c r="T15" s="369"/>
      <c r="U15" s="369"/>
    </row>
    <row r="16" spans="1:21" ht="15.75" thickBot="1">
      <c r="A16" s="817"/>
      <c r="B16" s="94"/>
      <c r="C16" s="102"/>
      <c r="D16" s="78"/>
      <c r="E16" s="95"/>
      <c r="F16" s="95"/>
      <c r="G16" s="95"/>
      <c r="H16" s="95"/>
      <c r="I16" s="95"/>
      <c r="J16" s="95"/>
      <c r="K16" s="95"/>
      <c r="L16" s="95"/>
      <c r="M16" s="95"/>
      <c r="N16" s="84"/>
      <c r="O16" s="802"/>
      <c r="P16" s="803"/>
      <c r="Q16" s="369"/>
      <c r="R16" s="369"/>
      <c r="S16" s="369"/>
      <c r="T16" s="369"/>
      <c r="U16" s="369"/>
    </row>
    <row r="17" spans="1:21" ht="30" customHeight="1" thickBot="1">
      <c r="A17" s="817"/>
      <c r="B17" s="80" t="str">
        <f>IF(SUM(E17:M17)=0,"Go to Test 2","The figure in line 1 of CTB should be the same as the VOA data")</f>
        <v>Go to Test 2</v>
      </c>
      <c r="C17" s="109"/>
      <c r="D17" s="83"/>
      <c r="E17" s="74">
        <f>IF(E15=0,"",E15)</f>
      </c>
      <c r="F17" s="74">
        <f aca="true" t="shared" si="1" ref="F17:M17">IF(F15=0,"",F15)</f>
      </c>
      <c r="G17" s="74">
        <f t="shared" si="1"/>
      </c>
      <c r="H17" s="74">
        <f t="shared" si="1"/>
      </c>
      <c r="I17" s="74">
        <f t="shared" si="1"/>
      </c>
      <c r="J17" s="74">
        <f t="shared" si="1"/>
      </c>
      <c r="K17" s="74">
        <f t="shared" si="1"/>
      </c>
      <c r="L17" s="74">
        <f t="shared" si="1"/>
      </c>
      <c r="M17" s="74">
        <f t="shared" si="1"/>
      </c>
      <c r="N17" s="84"/>
      <c r="O17" s="804"/>
      <c r="P17" s="805"/>
      <c r="Q17" s="369"/>
      <c r="R17" s="369"/>
      <c r="S17" s="369"/>
      <c r="T17" s="369"/>
      <c r="U17" s="369"/>
    </row>
    <row r="18" spans="1:21" s="67" customFormat="1" ht="24" customHeight="1">
      <c r="A18" s="817"/>
      <c r="B18" s="822" t="s">
        <v>946</v>
      </c>
      <c r="C18" s="823"/>
      <c r="D18" s="823"/>
      <c r="E18" s="823"/>
      <c r="F18" s="823"/>
      <c r="G18" s="823"/>
      <c r="H18" s="823"/>
      <c r="I18" s="823"/>
      <c r="J18" s="823"/>
      <c r="K18" s="823"/>
      <c r="L18" s="823"/>
      <c r="M18" s="823"/>
      <c r="N18" s="96"/>
      <c r="O18" s="808" t="s">
        <v>947</v>
      </c>
      <c r="P18" s="809"/>
      <c r="Q18" s="369"/>
      <c r="R18" s="369"/>
      <c r="S18" s="369"/>
      <c r="T18" s="369"/>
      <c r="U18" s="369"/>
    </row>
    <row r="19" spans="1:21" s="67" customFormat="1" ht="13.5" thickBot="1">
      <c r="A19" s="818"/>
      <c r="B19" s="824"/>
      <c r="C19" s="824"/>
      <c r="D19" s="824"/>
      <c r="E19" s="824"/>
      <c r="F19" s="824"/>
      <c r="G19" s="824"/>
      <c r="H19" s="824"/>
      <c r="I19" s="824"/>
      <c r="J19" s="824"/>
      <c r="K19" s="824"/>
      <c r="L19" s="824"/>
      <c r="M19" s="824"/>
      <c r="N19" s="374"/>
      <c r="O19" s="374"/>
      <c r="P19" s="375"/>
      <c r="Q19" s="376"/>
      <c r="R19" s="376"/>
      <c r="S19" s="376"/>
      <c r="T19" s="376"/>
      <c r="U19" s="376"/>
    </row>
    <row r="20" spans="1:16" ht="13.5" thickTop="1">
      <c r="A20" s="825" t="s">
        <v>884</v>
      </c>
      <c r="B20" s="84"/>
      <c r="C20" s="95"/>
      <c r="D20" s="798"/>
      <c r="E20" s="799"/>
      <c r="F20" s="799"/>
      <c r="G20" s="799"/>
      <c r="H20" s="799"/>
      <c r="I20" s="799"/>
      <c r="J20" s="799"/>
      <c r="K20" s="799"/>
      <c r="L20" s="799"/>
      <c r="M20" s="799"/>
      <c r="N20" s="799"/>
      <c r="O20" s="799"/>
      <c r="P20" s="799"/>
    </row>
    <row r="21" spans="1:16" ht="12.75">
      <c r="A21" s="820"/>
      <c r="B21" s="90"/>
      <c r="C21" s="78"/>
      <c r="D21" s="78"/>
      <c r="E21" s="78"/>
      <c r="F21" s="78"/>
      <c r="G21" s="95"/>
      <c r="H21" s="95"/>
      <c r="I21" s="95"/>
      <c r="J21" s="95"/>
      <c r="K21" s="95"/>
      <c r="L21" s="95"/>
      <c r="M21" s="95"/>
      <c r="N21" s="84"/>
      <c r="O21" s="92"/>
      <c r="P21" s="92"/>
    </row>
    <row r="22" spans="1:21" ht="15.75">
      <c r="A22" s="820"/>
      <c r="B22" s="91" t="s">
        <v>96</v>
      </c>
      <c r="C22" s="95"/>
      <c r="D22" s="95"/>
      <c r="E22" s="95"/>
      <c r="F22" s="95"/>
      <c r="G22" s="95"/>
      <c r="H22" s="95"/>
      <c r="I22" s="95"/>
      <c r="J22" s="95"/>
      <c r="K22" s="95"/>
      <c r="L22" s="95"/>
      <c r="M22" s="95"/>
      <c r="N22" s="84"/>
      <c r="O22" s="84"/>
      <c r="P22" s="84"/>
      <c r="Q22" s="369"/>
      <c r="R22" s="369"/>
      <c r="S22" s="369"/>
      <c r="T22" s="369"/>
      <c r="U22" s="369"/>
    </row>
    <row r="23" spans="1:21" ht="13.5" thickBot="1">
      <c r="A23" s="820"/>
      <c r="B23" s="84"/>
      <c r="C23" s="95"/>
      <c r="D23" s="95"/>
      <c r="E23" s="95"/>
      <c r="F23" s="95"/>
      <c r="G23" s="95"/>
      <c r="H23" s="95"/>
      <c r="I23" s="95"/>
      <c r="J23" s="95"/>
      <c r="K23" s="95"/>
      <c r="L23" s="95"/>
      <c r="M23" s="95"/>
      <c r="N23" s="84"/>
      <c r="O23" s="370">
        <f>U24</f>
      </c>
      <c r="P23" s="84"/>
      <c r="Q23" s="369"/>
      <c r="R23" s="369"/>
      <c r="S23" s="369"/>
      <c r="T23" s="369"/>
      <c r="U23" s="369"/>
    </row>
    <row r="24" spans="1:21" ht="23.25">
      <c r="A24" s="820"/>
      <c r="B24" s="65" t="s">
        <v>30</v>
      </c>
      <c r="C24" s="108"/>
      <c r="D24" s="81"/>
      <c r="E24" s="93">
        <f>'CTB Form'!E28</f>
        <v>183</v>
      </c>
      <c r="F24" s="93">
        <f>'CTB Form'!F28</f>
        <v>431</v>
      </c>
      <c r="G24" s="93">
        <f>'CTB Form'!G28</f>
        <v>1151</v>
      </c>
      <c r="H24" s="93">
        <f>'CTB Form'!H28</f>
        <v>715</v>
      </c>
      <c r="I24" s="93">
        <f>'CTB Form'!I28</f>
        <v>578</v>
      </c>
      <c r="J24" s="93">
        <f>'CTB Form'!J28</f>
        <v>188</v>
      </c>
      <c r="K24" s="93">
        <f>'CTB Form'!K28</f>
        <v>114</v>
      </c>
      <c r="L24" s="93">
        <f>'CTB Form'!L28</f>
        <v>19</v>
      </c>
      <c r="M24" s="93">
        <f>'CTB Form'!M28</f>
        <v>3379</v>
      </c>
      <c r="N24" s="84"/>
      <c r="O24" s="800"/>
      <c r="P24" s="801"/>
      <c r="Q24" s="371">
        <f>IF(AND((SUM(E28:M28)&lt;&gt;0),O24=""),1,0)</f>
        <v>0</v>
      </c>
      <c r="R24" s="371">
        <f>IF(AND((SUM(E28:M28)=0),O24=""),0,1)</f>
        <v>0</v>
      </c>
      <c r="S24" s="371">
        <f>IF(AND((SUM(E28:M28)=0),O24&lt;&gt;""),2,0)</f>
        <v>0</v>
      </c>
      <c r="T24" s="372">
        <f>SUM(Q24:S24)</f>
        <v>0</v>
      </c>
      <c r="U24" s="371">
        <f>IF(ISNUMBER(T24)=FALSE,"please delete invalid data entry on form",IF(T24=0,"",IF(T24=1,"Reason for differences",IF(T24=3,"No reason required, please DELETE entry below",IF(T24=2,"Please enter reason for differences in appropriate cell(s) below","")))))</f>
      </c>
    </row>
    <row r="25" spans="1:21" ht="20.25">
      <c r="A25" s="820"/>
      <c r="B25" s="65" t="s">
        <v>28</v>
      </c>
      <c r="C25" s="108"/>
      <c r="D25" s="73"/>
      <c r="E25" s="87">
        <f>'CTB Form'!E26</f>
        <v>2436</v>
      </c>
      <c r="F25" s="87">
        <f>'CTB Form'!F26</f>
        <v>11477</v>
      </c>
      <c r="G25" s="87">
        <f>'CTB Form'!G26</f>
        <v>31707</v>
      </c>
      <c r="H25" s="87">
        <f>'CTB Form'!H26</f>
        <v>29988</v>
      </c>
      <c r="I25" s="87">
        <f>'CTB Form'!I26</f>
        <v>21545</v>
      </c>
      <c r="J25" s="87">
        <f>'CTB Form'!J26</f>
        <v>6170</v>
      </c>
      <c r="K25" s="87">
        <f>'CTB Form'!K26</f>
        <v>3333</v>
      </c>
      <c r="L25" s="87">
        <f>'CTB Form'!L26</f>
        <v>258</v>
      </c>
      <c r="M25" s="87">
        <f>'CTB Form'!M26</f>
        <v>106914</v>
      </c>
      <c r="N25" s="84"/>
      <c r="O25" s="802"/>
      <c r="P25" s="803"/>
      <c r="Q25" s="373"/>
      <c r="R25" s="373"/>
      <c r="S25" s="373"/>
      <c r="T25" s="373"/>
      <c r="U25" s="373"/>
    </row>
    <row r="26" spans="1:21" ht="15">
      <c r="A26" s="820"/>
      <c r="B26" s="94" t="s">
        <v>898</v>
      </c>
      <c r="C26" s="102"/>
      <c r="D26" s="82"/>
      <c r="E26" s="93">
        <f>IF(+E24+E25=0," ",IF(E25=0," ",E24/E25*100))</f>
        <v>7.512315270935961</v>
      </c>
      <c r="F26" s="93">
        <f aca="true" t="shared" si="2" ref="F26:M26">IF(+F24+F25=0," ",IF(F25=0," ",F24/F25*100))</f>
        <v>3.7553367604774768</v>
      </c>
      <c r="G26" s="93">
        <f t="shared" si="2"/>
        <v>3.630113224209165</v>
      </c>
      <c r="H26" s="93">
        <f t="shared" si="2"/>
        <v>2.3842870481525944</v>
      </c>
      <c r="I26" s="93">
        <f t="shared" si="2"/>
        <v>2.6827570201902993</v>
      </c>
      <c r="J26" s="93">
        <f t="shared" si="2"/>
        <v>3.047001620745543</v>
      </c>
      <c r="K26" s="93">
        <f t="shared" si="2"/>
        <v>3.4203420342034203</v>
      </c>
      <c r="L26" s="93">
        <f t="shared" si="2"/>
        <v>7.3643410852713185</v>
      </c>
      <c r="M26" s="93">
        <f t="shared" si="2"/>
        <v>3.160484127429523</v>
      </c>
      <c r="N26" s="84"/>
      <c r="O26" s="802"/>
      <c r="P26" s="803"/>
      <c r="Q26" s="369"/>
      <c r="R26" s="369"/>
      <c r="S26" s="369"/>
      <c r="T26" s="369"/>
      <c r="U26" s="369"/>
    </row>
    <row r="27" spans="1:21" ht="15.75" thickBot="1">
      <c r="A27" s="820"/>
      <c r="B27" s="94"/>
      <c r="C27" s="102"/>
      <c r="D27" s="78"/>
      <c r="E27" s="95"/>
      <c r="F27" s="95"/>
      <c r="G27" s="95"/>
      <c r="H27" s="95"/>
      <c r="I27" s="95"/>
      <c r="J27" s="95"/>
      <c r="K27" s="95"/>
      <c r="L27" s="95"/>
      <c r="M27" s="95"/>
      <c r="N27" s="84"/>
      <c r="O27" s="802"/>
      <c r="P27" s="803"/>
      <c r="Q27" s="378"/>
      <c r="R27" s="369"/>
      <c r="S27" s="369"/>
      <c r="T27" s="369"/>
      <c r="U27" s="369"/>
    </row>
    <row r="28" spans="1:21" ht="30" customHeight="1" thickBot="1">
      <c r="A28" s="820"/>
      <c r="B28" s="80" t="str">
        <f>IF(SUM(E28:M28)=0,"Go to Test 3","Please explain the reason for the change in the yellow box on the right")</f>
        <v>Go to Test 3</v>
      </c>
      <c r="C28" s="110"/>
      <c r="D28" s="83"/>
      <c r="E28" s="74">
        <f>IF(E26&gt;+Parameters!C6,E26,"")</f>
      </c>
      <c r="F28" s="74">
        <f>IF(F26&gt;+Parameters!D6,F26,"")</f>
      </c>
      <c r="G28" s="74">
        <f>IF(G26&gt;+Parameters!E6,G26,"")</f>
      </c>
      <c r="H28" s="74">
        <f>IF(H26&gt;+Parameters!F6,H26,"")</f>
      </c>
      <c r="I28" s="74">
        <f>IF(I26&gt;+Parameters!G6,I26,"")</f>
      </c>
      <c r="J28" s="74">
        <f>IF(J26&gt;+Parameters!H6,J26,"")</f>
      </c>
      <c r="K28" s="74">
        <f>IF(K26&gt;+Parameters!I6,K26,"")</f>
      </c>
      <c r="L28" s="74">
        <f>IF(L26&gt;+Parameters!J6,L26,"")</f>
      </c>
      <c r="M28" s="74">
        <f>IF(M26&gt;+Parameters!K6,M26,"")</f>
      </c>
      <c r="N28" s="84"/>
      <c r="O28" s="804"/>
      <c r="P28" s="805"/>
      <c r="Q28" s="369"/>
      <c r="R28" s="369"/>
      <c r="S28" s="369"/>
      <c r="T28" s="369"/>
      <c r="U28" s="369"/>
    </row>
    <row r="29" spans="1:21" ht="15.75">
      <c r="A29" s="820"/>
      <c r="B29" s="94"/>
      <c r="C29" s="102"/>
      <c r="D29" s="95"/>
      <c r="E29" s="95"/>
      <c r="F29" s="95"/>
      <c r="G29" s="95"/>
      <c r="H29" s="95"/>
      <c r="I29" s="95"/>
      <c r="J29" s="95"/>
      <c r="K29" s="95"/>
      <c r="L29" s="95"/>
      <c r="M29" s="95"/>
      <c r="N29" s="84"/>
      <c r="O29" s="808" t="s">
        <v>947</v>
      </c>
      <c r="P29" s="809"/>
      <c r="Q29" s="369"/>
      <c r="R29" s="369"/>
      <c r="S29" s="369"/>
      <c r="T29" s="369"/>
      <c r="U29" s="369"/>
    </row>
    <row r="30" spans="1:21" ht="15.75">
      <c r="A30" s="820"/>
      <c r="B30" s="91" t="s">
        <v>32</v>
      </c>
      <c r="C30" s="95"/>
      <c r="D30" s="95"/>
      <c r="E30" s="95"/>
      <c r="F30" s="95"/>
      <c r="G30" s="95"/>
      <c r="H30" s="95"/>
      <c r="I30" s="95"/>
      <c r="J30" s="95"/>
      <c r="K30" s="95"/>
      <c r="L30" s="95"/>
      <c r="M30" s="95"/>
      <c r="N30" s="84"/>
      <c r="O30" s="96"/>
      <c r="P30" s="379"/>
      <c r="Q30" s="369"/>
      <c r="R30" s="369"/>
      <c r="S30" s="369"/>
      <c r="T30" s="369"/>
      <c r="U30" s="369"/>
    </row>
    <row r="31" spans="1:21" ht="13.5" thickBot="1">
      <c r="A31" s="820"/>
      <c r="B31" s="84"/>
      <c r="C31" s="95"/>
      <c r="D31" s="95"/>
      <c r="E31" s="95"/>
      <c r="F31" s="95"/>
      <c r="G31" s="95"/>
      <c r="H31" s="95"/>
      <c r="I31" s="95"/>
      <c r="J31" s="95"/>
      <c r="K31" s="95"/>
      <c r="L31" s="95"/>
      <c r="M31" s="95"/>
      <c r="N31" s="84"/>
      <c r="O31" s="370" t="str">
        <f>U32</f>
        <v>Reason for differences</v>
      </c>
      <c r="P31" s="84"/>
      <c r="Q31" s="369"/>
      <c r="R31" s="369"/>
      <c r="S31" s="369"/>
      <c r="T31" s="369"/>
      <c r="U31" s="369"/>
    </row>
    <row r="32" spans="1:21" ht="23.25">
      <c r="A32" s="820"/>
      <c r="B32" s="65" t="s">
        <v>31</v>
      </c>
      <c r="C32" s="108"/>
      <c r="D32" s="97"/>
      <c r="E32" s="93">
        <f>'CTB Form'!E28</f>
        <v>183</v>
      </c>
      <c r="F32" s="93">
        <f>'CTB Form'!F28</f>
        <v>431</v>
      </c>
      <c r="G32" s="93">
        <f>'CTB Form'!G28</f>
        <v>1151</v>
      </c>
      <c r="H32" s="93">
        <f>'CTB Form'!H28</f>
        <v>715</v>
      </c>
      <c r="I32" s="93">
        <f>'CTB Form'!I28</f>
        <v>578</v>
      </c>
      <c r="J32" s="93">
        <f>'CTB Form'!J28</f>
        <v>188</v>
      </c>
      <c r="K32" s="93">
        <f>'CTB Form'!K28</f>
        <v>114</v>
      </c>
      <c r="L32" s="93">
        <f>'CTB Form'!L28</f>
        <v>19</v>
      </c>
      <c r="M32" s="93">
        <f>'CTB Form'!M28</f>
        <v>3379</v>
      </c>
      <c r="N32" s="84"/>
      <c r="O32" s="800" t="s">
        <v>5</v>
      </c>
      <c r="P32" s="801"/>
      <c r="Q32" s="371">
        <f>IF(AND((SUM(E36:M36)&lt;&gt;0),O32=""),1,0)</f>
        <v>0</v>
      </c>
      <c r="R32" s="371">
        <f>IF(AND((SUM(E36:M36)=0),O32=""),0,1)</f>
        <v>1</v>
      </c>
      <c r="S32" s="371">
        <f>IF(AND((SUM(E36:M36)=0),O32&lt;&gt;""),2,0)</f>
        <v>0</v>
      </c>
      <c r="T32" s="372">
        <f>SUM(Q32:S32)</f>
        <v>1</v>
      </c>
      <c r="U32" s="371" t="str">
        <f>IF(ISNUMBER(T32)=FALSE,"please delete invalid data entry on form",IF(T32=0,"",IF(T32=1,"Reason for differences",IF(T32=3,"No reason required, please DELETE entry below",IF(T32=2,"Please enter reason for differences in appropriate cell(s) below","")))))</f>
        <v>Reason for differences</v>
      </c>
    </row>
    <row r="33" spans="1:21" ht="15">
      <c r="A33" s="820"/>
      <c r="B33" s="65" t="s">
        <v>100</v>
      </c>
      <c r="C33" s="108"/>
      <c r="D33" s="73"/>
      <c r="E33" s="87">
        <f>VLOOKUP('CTB Form'!$G$5,Data!$A$9:$DK$364,15,FALSE)</f>
        <v>153</v>
      </c>
      <c r="F33" s="87">
        <f>VLOOKUP('CTB Form'!$G$5,Data!$A$9:$DK$364,16,FALSE)</f>
        <v>362</v>
      </c>
      <c r="G33" s="87">
        <f>VLOOKUP('CTB Form'!$G$5,Data!$A$9:$DK$364,17,FALSE)</f>
        <v>950</v>
      </c>
      <c r="H33" s="87">
        <f>VLOOKUP('CTB Form'!$G$5,Data!$A$9:$DK$364,18,FALSE)</f>
        <v>660</v>
      </c>
      <c r="I33" s="87">
        <f>VLOOKUP('CTB Form'!$G$5,Data!$A$9:$DK$364,19,FALSE)</f>
        <v>407</v>
      </c>
      <c r="J33" s="87">
        <f>VLOOKUP('CTB Form'!$G$5,Data!$A$9:$DK$364,20,FALSE)</f>
        <v>131</v>
      </c>
      <c r="K33" s="87">
        <f>VLOOKUP('CTB Form'!$G$5,Data!$A$9:$DK$364,21,FALSE)</f>
        <v>89</v>
      </c>
      <c r="L33" s="87">
        <f>VLOOKUP('CTB Form'!$G$5,Data!$A$9:$DK$364,22,FALSE)</f>
        <v>18</v>
      </c>
      <c r="M33" s="87">
        <f>VLOOKUP('CTB Form'!$G$5,Data!$A$9:$DK$364,23,FALSE)</f>
        <v>2770</v>
      </c>
      <c r="N33" s="84"/>
      <c r="O33" s="802"/>
      <c r="P33" s="803"/>
      <c r="Q33" s="369"/>
      <c r="R33" s="369"/>
      <c r="S33" s="369"/>
      <c r="T33" s="369"/>
      <c r="U33" s="369"/>
    </row>
    <row r="34" spans="1:21" ht="15">
      <c r="A34" s="820"/>
      <c r="B34" s="94"/>
      <c r="C34" s="102" t="s">
        <v>928</v>
      </c>
      <c r="D34" s="93"/>
      <c r="E34" s="93">
        <f>IF(E32+E33=0," ",IF(E33=0," ",ABS(E32-E33)/E33*100))</f>
        <v>19.607843137254903</v>
      </c>
      <c r="F34" s="93">
        <f aca="true" t="shared" si="3" ref="F34:M34">IF(F32+F33=0," ",IF(F33=0," ",ABS(F32-F33)/F33*100))</f>
        <v>19.060773480662984</v>
      </c>
      <c r="G34" s="93">
        <f>IF(G32+G33=0," ",IF(G33=0," ",ABS(G32-G33)/G33*100))</f>
        <v>21.157894736842106</v>
      </c>
      <c r="H34" s="93">
        <f t="shared" si="3"/>
        <v>8.333333333333332</v>
      </c>
      <c r="I34" s="93">
        <f t="shared" si="3"/>
        <v>42.01474201474201</v>
      </c>
      <c r="J34" s="93">
        <f t="shared" si="3"/>
        <v>43.51145038167939</v>
      </c>
      <c r="K34" s="93">
        <f t="shared" si="3"/>
        <v>28.08988764044944</v>
      </c>
      <c r="L34" s="93">
        <f t="shared" si="3"/>
        <v>5.555555555555555</v>
      </c>
      <c r="M34" s="93">
        <f t="shared" si="3"/>
        <v>21.985559566787003</v>
      </c>
      <c r="N34" s="84"/>
      <c r="O34" s="802"/>
      <c r="P34" s="803"/>
      <c r="Q34" s="369"/>
      <c r="R34" s="369"/>
      <c r="S34" s="369"/>
      <c r="T34" s="369"/>
      <c r="U34" s="369"/>
    </row>
    <row r="35" spans="1:21" ht="15.75" thickBot="1">
      <c r="A35" s="820"/>
      <c r="B35" s="94"/>
      <c r="C35" s="102"/>
      <c r="D35" s="95"/>
      <c r="E35" s="95"/>
      <c r="F35" s="95"/>
      <c r="G35" s="95"/>
      <c r="H35" s="95"/>
      <c r="I35" s="95"/>
      <c r="J35" s="95"/>
      <c r="K35" s="95"/>
      <c r="L35" s="95"/>
      <c r="M35" s="95"/>
      <c r="N35" s="84"/>
      <c r="O35" s="802"/>
      <c r="P35" s="803"/>
      <c r="Q35" s="378"/>
      <c r="R35" s="369"/>
      <c r="S35" s="369"/>
      <c r="T35" s="369"/>
      <c r="U35" s="369"/>
    </row>
    <row r="36" spans="1:21" ht="30" customHeight="1" thickBot="1">
      <c r="A36" s="820"/>
      <c r="B36" s="80" t="str">
        <f>IF(SUM(E36:M36)=0,"Go to Test 4","Please explain the reason for the change in the yellow box on the right")</f>
        <v>Please explain the reason for the change in the yellow box on the right</v>
      </c>
      <c r="C36" s="110"/>
      <c r="D36" s="83"/>
      <c r="E36" s="74">
        <f>IF(AND(E33&gt;20,E34&gt;+Parameters!C7),E34,"")</f>
      </c>
      <c r="F36" s="74">
        <f>IF(AND(F33&gt;20,F34&gt;+Parameters!D7),F34,"")</f>
      </c>
      <c r="G36" s="74">
        <f>IF(AND(G33&gt;20,G34&gt;+Parameters!E7),G34,"")</f>
      </c>
      <c r="H36" s="74">
        <f>IF(AND(H33&gt;20,H34&gt;+Parameters!F7),H34,"")</f>
      </c>
      <c r="I36" s="74">
        <f>IF(AND(I33&gt;20,I34&gt;+Parameters!G7),I34,"")</f>
        <v>42.01474201474201</v>
      </c>
      <c r="J36" s="74">
        <f>IF(AND(J33&gt;20,J34&gt;+Parameters!H7),J34,"")</f>
        <v>43.51145038167939</v>
      </c>
      <c r="K36" s="74">
        <f>IF(AND(K33&gt;20,K34&gt;+Parameters!I7),K34,"")</f>
      </c>
      <c r="L36" s="74">
        <f>IF(AND(L33&gt;20,L34&gt;+Parameters!J7),L34,"")</f>
      </c>
      <c r="M36" s="74">
        <f>IF(AND(M33&gt;20,M34&gt;+Parameters!K7),M34,"")</f>
      </c>
      <c r="N36" s="84"/>
      <c r="O36" s="804"/>
      <c r="P36" s="805"/>
      <c r="Q36" s="369"/>
      <c r="R36" s="369"/>
      <c r="S36" s="369"/>
      <c r="T36" s="369"/>
      <c r="U36" s="369"/>
    </row>
    <row r="37" spans="1:18" ht="16.5" thickBot="1">
      <c r="A37" s="826"/>
      <c r="B37" s="377"/>
      <c r="C37" s="380"/>
      <c r="D37" s="381"/>
      <c r="E37" s="381"/>
      <c r="F37" s="381"/>
      <c r="G37" s="381"/>
      <c r="H37" s="381"/>
      <c r="I37" s="381"/>
      <c r="J37" s="381"/>
      <c r="K37" s="381"/>
      <c r="L37" s="381"/>
      <c r="M37" s="381"/>
      <c r="N37" s="377"/>
      <c r="O37" s="806" t="s">
        <v>947</v>
      </c>
      <c r="P37" s="807"/>
      <c r="R37" s="80"/>
    </row>
    <row r="38" spans="1:18" ht="15.75" customHeight="1" thickTop="1">
      <c r="A38" s="827" t="s">
        <v>948</v>
      </c>
      <c r="B38" s="382"/>
      <c r="C38" s="383"/>
      <c r="D38" s="798"/>
      <c r="E38" s="799"/>
      <c r="F38" s="799"/>
      <c r="G38" s="799"/>
      <c r="H38" s="799"/>
      <c r="I38" s="799"/>
      <c r="J38" s="799"/>
      <c r="K38" s="799"/>
      <c r="L38" s="799"/>
      <c r="M38" s="799"/>
      <c r="N38" s="799"/>
      <c r="O38" s="799"/>
      <c r="P38" s="799"/>
      <c r="R38" s="80"/>
    </row>
    <row r="39" spans="1:18" ht="15">
      <c r="A39" s="828"/>
      <c r="B39" s="94"/>
      <c r="C39" s="102"/>
      <c r="D39" s="95"/>
      <c r="E39" s="95"/>
      <c r="F39" s="95"/>
      <c r="G39" s="95"/>
      <c r="H39" s="95"/>
      <c r="I39" s="95"/>
      <c r="J39" s="95"/>
      <c r="K39" s="95"/>
      <c r="L39" s="95"/>
      <c r="M39" s="95"/>
      <c r="N39" s="84"/>
      <c r="O39" s="92"/>
      <c r="P39" s="92"/>
      <c r="R39" s="80"/>
    </row>
    <row r="40" spans="1:21" ht="15.75">
      <c r="A40" s="828"/>
      <c r="B40" s="91" t="s">
        <v>33</v>
      </c>
      <c r="C40" s="102"/>
      <c r="D40" s="95"/>
      <c r="E40" s="95"/>
      <c r="F40" s="95"/>
      <c r="G40" s="95"/>
      <c r="H40" s="95"/>
      <c r="I40" s="95"/>
      <c r="J40" s="95"/>
      <c r="K40" s="95"/>
      <c r="L40" s="95"/>
      <c r="M40" s="95"/>
      <c r="N40" s="84"/>
      <c r="O40" s="84"/>
      <c r="P40" s="84"/>
      <c r="Q40" s="369"/>
      <c r="R40" s="369"/>
      <c r="S40" s="369"/>
      <c r="T40" s="369"/>
      <c r="U40" s="369"/>
    </row>
    <row r="41" spans="1:21" ht="15.75" thickBot="1">
      <c r="A41" s="828"/>
      <c r="B41" s="94"/>
      <c r="C41" s="102"/>
      <c r="D41" s="95"/>
      <c r="E41" s="95"/>
      <c r="F41" s="95"/>
      <c r="G41" s="95"/>
      <c r="H41" s="95"/>
      <c r="I41" s="95"/>
      <c r="J41" s="95"/>
      <c r="K41" s="95"/>
      <c r="L41" s="95"/>
      <c r="M41" s="95"/>
      <c r="N41" s="84"/>
      <c r="O41" s="370">
        <f>U42</f>
      </c>
      <c r="P41" s="84"/>
      <c r="Q41" s="369"/>
      <c r="R41" s="369"/>
      <c r="S41" s="369"/>
      <c r="T41" s="369"/>
      <c r="U41" s="369"/>
    </row>
    <row r="42" spans="1:21" ht="23.25">
      <c r="A42" s="828"/>
      <c r="B42" s="65" t="s">
        <v>34</v>
      </c>
      <c r="C42" s="108"/>
      <c r="D42" s="97"/>
      <c r="E42" s="93">
        <f>'CTB Form'!E30</f>
        <v>0</v>
      </c>
      <c r="F42" s="93">
        <f>'CTB Form'!F30</f>
        <v>0</v>
      </c>
      <c r="G42" s="93">
        <f>'CTB Form'!G30</f>
        <v>0</v>
      </c>
      <c r="H42" s="93">
        <f>'CTB Form'!H30</f>
        <v>0</v>
      </c>
      <c r="I42" s="93">
        <f>'CTB Form'!I30</f>
        <v>0</v>
      </c>
      <c r="J42" s="93">
        <v>44</v>
      </c>
      <c r="K42" s="93">
        <f>'CTB Form'!K30</f>
        <v>0</v>
      </c>
      <c r="L42" s="93">
        <f>'CTB Form'!L30</f>
        <v>0</v>
      </c>
      <c r="M42" s="93">
        <f>'CTB Form'!M30</f>
        <v>0</v>
      </c>
      <c r="N42" s="84"/>
      <c r="O42" s="800"/>
      <c r="P42" s="801"/>
      <c r="Q42" s="371">
        <f>IF(AND((SUM(E46:M46)&lt;&gt;0),O42=""),1,0)</f>
        <v>0</v>
      </c>
      <c r="R42" s="371">
        <f>IF(AND((SUM(E46:M46)=0),O42=""),0,1)</f>
        <v>0</v>
      </c>
      <c r="S42" s="371">
        <f>IF(AND((SUM(E46:M46)=0),O42&lt;&gt;""),2,0)</f>
        <v>0</v>
      </c>
      <c r="T42" s="372">
        <f>SUM(Q42:S42)</f>
        <v>0</v>
      </c>
      <c r="U42" s="371">
        <f>IF(ISNUMBER(T42)=FALSE,"please delete invalid data entry on form",IF(T42=0,"",IF(T42=1,"Reason for differences",IF(T42=3,"No reason required, please DELETE entry below",IF(T42=2,"Please enter reason for differences in appropriate cell(s) below","")))))</f>
      </c>
    </row>
    <row r="43" spans="1:21" ht="15">
      <c r="A43" s="828"/>
      <c r="B43" s="65" t="s">
        <v>101</v>
      </c>
      <c r="C43" s="108"/>
      <c r="D43" s="73"/>
      <c r="E43" s="87">
        <f>VLOOKUP('CTB Form'!$G$5,Data!$A$9:$DK$364,25,FALSE)</f>
        <v>0</v>
      </c>
      <c r="F43" s="87">
        <f>VLOOKUP('CTB Form'!$G$5,Data!$A$9:$DK$364,26,FALSE)</f>
        <v>0</v>
      </c>
      <c r="G43" s="87">
        <f>VLOOKUP('CTB Form'!$G$5,Data!$A$9:$DK$364,27,FALSE)</f>
        <v>0</v>
      </c>
      <c r="H43" s="87">
        <f>VLOOKUP('CTB Form'!$G$5,Data!$A$9:$DK$364,28,FALSE)</f>
        <v>0</v>
      </c>
      <c r="I43" s="87">
        <f>VLOOKUP('CTB Form'!$G$5,Data!$A$9:$DK$364,29,FALSE)</f>
        <v>0</v>
      </c>
      <c r="J43" s="87">
        <f>VLOOKUP('CTB Form'!$G$5,Data!$A$9:$DK$364,30,FALSE)</f>
        <v>0</v>
      </c>
      <c r="K43" s="87">
        <f>VLOOKUP('CTB Form'!$G$5,Data!$A$9:$DK$364,31,FALSE)</f>
        <v>0</v>
      </c>
      <c r="L43" s="87">
        <f>VLOOKUP('CTB Form'!$G$5,Data!$A$9:$DK$364,32,FALSE)</f>
        <v>0</v>
      </c>
      <c r="M43" s="87">
        <f>VLOOKUP('CTB Form'!$G$5,Data!$A$9:$DK$364,33,FALSE)</f>
        <v>0</v>
      </c>
      <c r="N43" s="84"/>
      <c r="O43" s="802"/>
      <c r="P43" s="803"/>
      <c r="Q43" s="369"/>
      <c r="R43" s="369"/>
      <c r="S43" s="369"/>
      <c r="T43" s="369"/>
      <c r="U43" s="369"/>
    </row>
    <row r="44" spans="1:21" ht="15">
      <c r="A44" s="828"/>
      <c r="B44" s="94"/>
      <c r="C44" s="102" t="s">
        <v>928</v>
      </c>
      <c r="D44" s="93"/>
      <c r="E44" s="368" t="str">
        <f>IF(E42+E43=0," ",IF(E43=0," ",ABS(E42-E43)/E43*100))</f>
        <v> </v>
      </c>
      <c r="F44" s="93" t="str">
        <f aca="true" t="shared" si="4" ref="F44:M44">IF(F42+F43=0," ",IF(F43=0," ",ABS(F42-F43)/F43*100))</f>
        <v> </v>
      </c>
      <c r="G44" s="93" t="str">
        <f t="shared" si="4"/>
        <v> </v>
      </c>
      <c r="H44" s="93" t="str">
        <f t="shared" si="4"/>
        <v> </v>
      </c>
      <c r="I44" s="93" t="str">
        <f t="shared" si="4"/>
        <v> </v>
      </c>
      <c r="J44" s="93" t="str">
        <f t="shared" si="4"/>
        <v> </v>
      </c>
      <c r="K44" s="93" t="str">
        <f t="shared" si="4"/>
        <v> </v>
      </c>
      <c r="L44" s="93" t="str">
        <f t="shared" si="4"/>
        <v> </v>
      </c>
      <c r="M44" s="93" t="str">
        <f t="shared" si="4"/>
        <v> </v>
      </c>
      <c r="N44" s="84"/>
      <c r="O44" s="802"/>
      <c r="P44" s="803"/>
      <c r="Q44" s="369"/>
      <c r="R44" s="369"/>
      <c r="S44" s="369"/>
      <c r="T44" s="369"/>
      <c r="U44" s="369"/>
    </row>
    <row r="45" spans="1:21" ht="15.75" thickBot="1">
      <c r="A45" s="828"/>
      <c r="B45" s="80"/>
      <c r="C45" s="102"/>
      <c r="D45" s="95"/>
      <c r="E45" s="95"/>
      <c r="F45" s="95"/>
      <c r="G45" s="95"/>
      <c r="H45" s="95"/>
      <c r="I45" s="95"/>
      <c r="J45" s="95"/>
      <c r="K45" s="95"/>
      <c r="L45" s="95"/>
      <c r="M45" s="95"/>
      <c r="N45" s="84"/>
      <c r="O45" s="802"/>
      <c r="P45" s="803"/>
      <c r="Q45" s="378"/>
      <c r="R45" s="369"/>
      <c r="S45" s="369"/>
      <c r="T45" s="369"/>
      <c r="U45" s="369"/>
    </row>
    <row r="46" spans="1:21" ht="30" customHeight="1" thickBot="1">
      <c r="A46" s="828"/>
      <c r="B46" s="80" t="str">
        <f>IF(SUM(E46:M46)=0,"Go to Test 5","Please explain the reason for the change in the yellow box on the right")</f>
        <v>Go to Test 5</v>
      </c>
      <c r="C46" s="110"/>
      <c r="D46" s="83"/>
      <c r="E46" s="74">
        <f>IF(AND(E43&gt;20,E44&gt;+Parameters!C8),E44,"")</f>
      </c>
      <c r="F46" s="74">
        <f>IF(AND(F43&gt;20,F44&gt;+Parameters!D8),F44,"")</f>
      </c>
      <c r="G46" s="74">
        <f>IF(AND(G43&gt;20,G44&gt;+Parameters!E8),G44,"")</f>
      </c>
      <c r="H46" s="74">
        <f>IF(AND(H43&gt;20,H44&gt;+Parameters!F8),H44,"")</f>
      </c>
      <c r="I46" s="74">
        <f>IF(AND(I43&gt;20,I44&gt;+Parameters!G8),I44,"")</f>
      </c>
      <c r="J46" s="74">
        <f>IF(AND(J43&gt;20,J44&gt;+Parameters!H8),J44,"")</f>
      </c>
      <c r="K46" s="74">
        <f>IF(AND(K43&gt;20,K44&gt;+Parameters!I8),K44,"")</f>
      </c>
      <c r="L46" s="74">
        <f>IF(AND(L43&gt;20,L44&gt;+Parameters!J8),L44,"")</f>
      </c>
      <c r="M46" s="74">
        <f>IF(AND(M43&gt;20,M44&gt;+Parameters!K8),M44,"")</f>
      </c>
      <c r="N46" s="84"/>
      <c r="O46" s="804"/>
      <c r="P46" s="805"/>
      <c r="Q46" s="369"/>
      <c r="R46" s="369"/>
      <c r="S46" s="369"/>
      <c r="T46" s="369"/>
      <c r="U46" s="369"/>
    </row>
    <row r="47" spans="1:21" ht="15.75">
      <c r="A47" s="828"/>
      <c r="B47" s="94"/>
      <c r="C47" s="102"/>
      <c r="D47" s="95"/>
      <c r="E47" s="95"/>
      <c r="F47" s="95"/>
      <c r="G47" s="95"/>
      <c r="H47" s="95"/>
      <c r="I47" s="95"/>
      <c r="J47" s="95"/>
      <c r="K47" s="95"/>
      <c r="L47" s="95"/>
      <c r="M47" s="95"/>
      <c r="N47" s="84"/>
      <c r="O47" s="808" t="s">
        <v>947</v>
      </c>
      <c r="P47" s="809"/>
      <c r="Q47" s="369"/>
      <c r="R47" s="369"/>
      <c r="S47" s="369"/>
      <c r="T47" s="369"/>
      <c r="U47" s="369"/>
    </row>
    <row r="48" spans="1:21" ht="15.75">
      <c r="A48" s="828"/>
      <c r="B48" s="91" t="s">
        <v>35</v>
      </c>
      <c r="C48" s="102"/>
      <c r="D48" s="95"/>
      <c r="E48" s="95"/>
      <c r="F48" s="95"/>
      <c r="G48" s="95"/>
      <c r="H48" s="95"/>
      <c r="I48" s="95"/>
      <c r="J48" s="95"/>
      <c r="K48" s="95"/>
      <c r="L48" s="95"/>
      <c r="M48" s="95"/>
      <c r="N48" s="84"/>
      <c r="O48" s="96"/>
      <c r="P48" s="379"/>
      <c r="Q48" s="369"/>
      <c r="R48" s="369"/>
      <c r="S48" s="369"/>
      <c r="T48" s="369"/>
      <c r="U48" s="369"/>
    </row>
    <row r="49" spans="1:21" ht="15.75" thickBot="1">
      <c r="A49" s="828"/>
      <c r="B49" s="94"/>
      <c r="C49" s="102"/>
      <c r="D49" s="95"/>
      <c r="E49" s="95"/>
      <c r="F49" s="95"/>
      <c r="G49" s="95"/>
      <c r="H49" s="95"/>
      <c r="I49" s="95"/>
      <c r="J49" s="95"/>
      <c r="K49" s="95"/>
      <c r="L49" s="95"/>
      <c r="M49" s="95"/>
      <c r="N49" s="84"/>
      <c r="O49" s="370">
        <f>U50</f>
      </c>
      <c r="P49" s="84"/>
      <c r="Q49" s="369"/>
      <c r="R49" s="369"/>
      <c r="S49" s="369"/>
      <c r="T49" s="369"/>
      <c r="U49" s="369"/>
    </row>
    <row r="50" spans="1:21" ht="23.25">
      <c r="A50" s="829"/>
      <c r="B50" s="65" t="s">
        <v>34</v>
      </c>
      <c r="C50" s="108"/>
      <c r="D50" s="97"/>
      <c r="E50" s="93">
        <f>'CTB Form'!E30</f>
        <v>0</v>
      </c>
      <c r="F50" s="93">
        <f>'CTB Form'!F30</f>
        <v>0</v>
      </c>
      <c r="G50" s="93">
        <f>'CTB Form'!G30</f>
        <v>0</v>
      </c>
      <c r="H50" s="93">
        <f>'CTB Form'!H30</f>
        <v>0</v>
      </c>
      <c r="I50" s="93">
        <f>'CTB Form'!I30</f>
        <v>0</v>
      </c>
      <c r="J50" s="93">
        <f>'CTB Form'!J30</f>
        <v>0</v>
      </c>
      <c r="K50" s="93">
        <f>'CTB Form'!K30</f>
        <v>0</v>
      </c>
      <c r="L50" s="93">
        <f>'CTB Form'!L30</f>
        <v>0</v>
      </c>
      <c r="M50" s="93">
        <f>'CTB Form'!M30</f>
        <v>0</v>
      </c>
      <c r="N50" s="84"/>
      <c r="O50" s="800"/>
      <c r="P50" s="801"/>
      <c r="Q50" s="371">
        <f>IF(AND((SUM(E54:M54)&lt;&gt;0),O50=""),1,0)</f>
        <v>0</v>
      </c>
      <c r="R50" s="371">
        <f>IF(AND((SUM(E54:M54)=0),O50=""),0,1)</f>
        <v>0</v>
      </c>
      <c r="S50" s="371">
        <f>IF(AND((SUM(E54:M54)=0),O50&lt;&gt;""),2,0)</f>
        <v>0</v>
      </c>
      <c r="T50" s="372">
        <f>SUM(Q50:S50)</f>
        <v>0</v>
      </c>
      <c r="U50" s="371">
        <f>IF(ISNUMBER(T50)=FALSE,"please delete invalid data entry on form",IF(T50=0,"",IF(T50=1,"Reason for differences",IF(T50=3,"No reason required, please DELETE entry below",IF(T50=2,"Please enter reason for differences in appropriate cell(s) below","")))))</f>
      </c>
    </row>
    <row r="51" spans="1:21" ht="15">
      <c r="A51" s="829"/>
      <c r="B51" s="65" t="s">
        <v>101</v>
      </c>
      <c r="C51" s="108"/>
      <c r="D51" s="73"/>
      <c r="E51" s="87">
        <f>VLOOKUP('CTB Form'!$G$5,Data!$A$9:$DK$364,25,FALSE)</f>
        <v>0</v>
      </c>
      <c r="F51" s="87">
        <f>VLOOKUP('CTB Form'!$G$5,Data!$A$9:$DK$364,26,FALSE)</f>
        <v>0</v>
      </c>
      <c r="G51" s="87">
        <f>VLOOKUP('CTB Form'!$G$5,Data!$A$9:$DK$364,27,FALSE)</f>
        <v>0</v>
      </c>
      <c r="H51" s="87">
        <f>VLOOKUP('CTB Form'!$G$5,Data!$A$9:$DK$364,28,FALSE)</f>
        <v>0</v>
      </c>
      <c r="I51" s="87">
        <f>VLOOKUP('CTB Form'!$G$5,Data!$A$9:$DK$364,29,FALSE)</f>
        <v>0</v>
      </c>
      <c r="J51" s="87">
        <f>VLOOKUP('CTB Form'!$G$5,Data!$A$9:$DK$364,30,FALSE)</f>
        <v>0</v>
      </c>
      <c r="K51" s="87">
        <f>VLOOKUP('CTB Form'!$G$5,Data!$A$9:$DK$364,31,FALSE)</f>
        <v>0</v>
      </c>
      <c r="L51" s="87">
        <f>VLOOKUP('CTB Form'!$G$5,Data!$A$9:$DK$364,32,FALSE)</f>
        <v>0</v>
      </c>
      <c r="M51" s="87">
        <f>VLOOKUP('CTB Form'!$G$5,Data!$A$9:$DK$364,33,FALSE)</f>
        <v>0</v>
      </c>
      <c r="N51" s="84"/>
      <c r="O51" s="802"/>
      <c r="P51" s="803"/>
      <c r="Q51" s="369"/>
      <c r="R51" s="369"/>
      <c r="S51" s="369"/>
      <c r="T51" s="369"/>
      <c r="U51" s="369"/>
    </row>
    <row r="52" spans="1:21" ht="15">
      <c r="A52" s="829"/>
      <c r="B52" s="94"/>
      <c r="C52" s="102" t="s">
        <v>894</v>
      </c>
      <c r="D52" s="93"/>
      <c r="E52" s="98" t="str">
        <f>IF(E50+E51=0," ",IF(E51=0," ",ABS(E50-E51)))</f>
        <v> </v>
      </c>
      <c r="F52" s="98" t="str">
        <f aca="true" t="shared" si="5" ref="F52:M52">IF(F50+F51=0," ",IF(F51=0," ",ABS(F50-F51)))</f>
        <v> </v>
      </c>
      <c r="G52" s="98" t="str">
        <f t="shared" si="5"/>
        <v> </v>
      </c>
      <c r="H52" s="98" t="str">
        <f t="shared" si="5"/>
        <v> </v>
      </c>
      <c r="I52" s="98" t="str">
        <f>IF(I50+I51=0," ",IF(I51=0," ",ABS(I50-I51)))</f>
        <v> </v>
      </c>
      <c r="J52" s="98" t="str">
        <f t="shared" si="5"/>
        <v> </v>
      </c>
      <c r="K52" s="98" t="str">
        <f t="shared" si="5"/>
        <v> </v>
      </c>
      <c r="L52" s="98" t="str">
        <f t="shared" si="5"/>
        <v> </v>
      </c>
      <c r="M52" s="98" t="str">
        <f t="shared" si="5"/>
        <v> </v>
      </c>
      <c r="N52" s="84"/>
      <c r="O52" s="802"/>
      <c r="P52" s="803"/>
      <c r="Q52" s="369"/>
      <c r="R52" s="369"/>
      <c r="S52" s="369"/>
      <c r="T52" s="369"/>
      <c r="U52" s="369"/>
    </row>
    <row r="53" spans="1:21" ht="15.75" thickBot="1">
      <c r="A53" s="829"/>
      <c r="B53" s="94"/>
      <c r="C53" s="102"/>
      <c r="D53" s="95"/>
      <c r="E53" s="95"/>
      <c r="F53" s="4"/>
      <c r="G53" s="95"/>
      <c r="H53" s="95"/>
      <c r="I53" s="95"/>
      <c r="J53" s="95"/>
      <c r="K53" s="95"/>
      <c r="L53" s="95"/>
      <c r="M53" s="95"/>
      <c r="N53" s="84"/>
      <c r="O53" s="802"/>
      <c r="P53" s="803"/>
      <c r="Q53" s="378"/>
      <c r="R53" s="369"/>
      <c r="S53" s="369"/>
      <c r="T53" s="369"/>
      <c r="U53" s="369"/>
    </row>
    <row r="54" spans="1:21" ht="30" customHeight="1" thickBot="1">
      <c r="A54" s="829"/>
      <c r="B54" s="80" t="str">
        <f>IF(SUM(E54:M54)=0,"Go to Test 6","Please explain the reason for the change in the yellow box on the right")</f>
        <v>Go to Test 6</v>
      </c>
      <c r="C54" s="110"/>
      <c r="D54" s="83"/>
      <c r="E54" s="86" t="str">
        <f>IF(AND(E51&lt;=20,E52&gt;+Parameters!C9),E52,"")</f>
        <v> </v>
      </c>
      <c r="F54" s="86" t="str">
        <f>IF(AND(F51&lt;=20,F52&gt;+Parameters!D9),F52,"")</f>
        <v> </v>
      </c>
      <c r="G54" s="86" t="str">
        <f>IF(AND(G51&lt;=20,G52&gt;+Parameters!E9),G52,"")</f>
        <v> </v>
      </c>
      <c r="H54" s="86" t="str">
        <f>IF(AND(H51&lt;=20,H52&gt;+Parameters!F9),H52,"")</f>
        <v> </v>
      </c>
      <c r="I54" s="86" t="str">
        <f>IF(AND(I51&lt;=20,I52&gt;+Parameters!G9),I52,"")</f>
        <v> </v>
      </c>
      <c r="J54" s="86" t="str">
        <f>IF(AND(J51&lt;=20,J52&gt;+Parameters!H9),J52,"")</f>
        <v> </v>
      </c>
      <c r="K54" s="86" t="str">
        <f>IF(AND(K51&lt;=20,K52&gt;+Parameters!I9),K52,"")</f>
        <v> </v>
      </c>
      <c r="L54" s="86" t="str">
        <f>IF(AND(L51&lt;=20,L52&gt;+Parameters!J9),L52,"")</f>
        <v> </v>
      </c>
      <c r="M54" s="86" t="str">
        <f>IF(AND(M51&lt;=20,M52&gt;+Parameters!K9),M52,"")</f>
        <v> </v>
      </c>
      <c r="N54" s="84"/>
      <c r="O54" s="804"/>
      <c r="P54" s="805"/>
      <c r="Q54" s="369"/>
      <c r="R54" s="369"/>
      <c r="S54" s="369"/>
      <c r="T54" s="369"/>
      <c r="U54" s="369"/>
    </row>
    <row r="55" spans="1:21" ht="16.5" thickBot="1">
      <c r="A55" s="818"/>
      <c r="B55" s="385"/>
      <c r="C55" s="380"/>
      <c r="D55" s="381"/>
      <c r="E55" s="381"/>
      <c r="F55" s="381"/>
      <c r="G55" s="381"/>
      <c r="H55" s="381"/>
      <c r="I55" s="381"/>
      <c r="J55" s="381"/>
      <c r="K55" s="381"/>
      <c r="L55" s="381"/>
      <c r="M55" s="381"/>
      <c r="N55" s="377"/>
      <c r="O55" s="806" t="s">
        <v>947</v>
      </c>
      <c r="P55" s="807"/>
      <c r="Q55" s="369"/>
      <c r="R55" s="369"/>
      <c r="S55" s="369"/>
      <c r="T55" s="369"/>
      <c r="U55" s="369"/>
    </row>
    <row r="56" spans="1:16" ht="18" customHeight="1" thickTop="1">
      <c r="A56" s="819" t="s">
        <v>895</v>
      </c>
      <c r="B56" s="94"/>
      <c r="C56" s="102"/>
      <c r="D56" s="798"/>
      <c r="E56" s="799"/>
      <c r="F56" s="799"/>
      <c r="G56" s="799"/>
      <c r="H56" s="799"/>
      <c r="I56" s="799"/>
      <c r="J56" s="799"/>
      <c r="K56" s="799"/>
      <c r="L56" s="799"/>
      <c r="M56" s="799"/>
      <c r="N56" s="799"/>
      <c r="O56" s="799"/>
      <c r="P56" s="799"/>
    </row>
    <row r="57" spans="1:16" ht="15">
      <c r="A57" s="820"/>
      <c r="B57" s="94"/>
      <c r="C57" s="102"/>
      <c r="D57" s="95"/>
      <c r="E57" s="95"/>
      <c r="F57" s="95"/>
      <c r="G57" s="95"/>
      <c r="H57" s="95"/>
      <c r="I57" s="95"/>
      <c r="J57" s="95"/>
      <c r="K57" s="95"/>
      <c r="L57" s="95"/>
      <c r="M57" s="95"/>
      <c r="N57" s="84"/>
      <c r="O57" s="92"/>
      <c r="P57" s="92"/>
    </row>
    <row r="58" spans="1:21" ht="15.75">
      <c r="A58" s="820"/>
      <c r="B58" s="91" t="s">
        <v>36</v>
      </c>
      <c r="C58" s="102"/>
      <c r="D58" s="95"/>
      <c r="E58" s="95"/>
      <c r="F58" s="95"/>
      <c r="G58" s="95"/>
      <c r="H58" s="95"/>
      <c r="I58" s="95"/>
      <c r="J58" s="95"/>
      <c r="K58" s="95"/>
      <c r="L58" s="95"/>
      <c r="M58" s="95"/>
      <c r="N58" s="84"/>
      <c r="O58" s="84"/>
      <c r="P58" s="84"/>
      <c r="Q58" s="369"/>
      <c r="R58" s="369"/>
      <c r="S58" s="369"/>
      <c r="T58" s="369"/>
      <c r="U58" s="369"/>
    </row>
    <row r="59" spans="1:21" ht="15.75" thickBot="1">
      <c r="A59" s="820"/>
      <c r="B59" s="94"/>
      <c r="C59" s="102"/>
      <c r="D59" s="95"/>
      <c r="E59" s="95"/>
      <c r="F59" s="95"/>
      <c r="G59" s="95"/>
      <c r="H59" s="95"/>
      <c r="I59" s="95"/>
      <c r="J59" s="95"/>
      <c r="K59" s="95"/>
      <c r="L59" s="95"/>
      <c r="M59" s="95"/>
      <c r="N59" s="84"/>
      <c r="O59" s="370">
        <f>U60</f>
      </c>
      <c r="P59" s="84"/>
      <c r="Q59" s="369"/>
      <c r="R59" s="369"/>
      <c r="S59" s="369"/>
      <c r="T59" s="369"/>
      <c r="U59" s="369"/>
    </row>
    <row r="60" spans="1:21" ht="23.25">
      <c r="A60" s="820"/>
      <c r="B60" s="65" t="s">
        <v>37</v>
      </c>
      <c r="C60" s="108"/>
      <c r="D60" s="97"/>
      <c r="E60" s="93">
        <f>'CTB Form'!E34</f>
        <v>1</v>
      </c>
      <c r="F60" s="93">
        <f>'CTB Form'!F34</f>
        <v>28</v>
      </c>
      <c r="G60" s="93">
        <f>'CTB Form'!G34</f>
        <v>77</v>
      </c>
      <c r="H60" s="93">
        <f>'CTB Form'!H34</f>
        <v>224</v>
      </c>
      <c r="I60" s="93">
        <f>'CTB Form'!I34</f>
        <v>216</v>
      </c>
      <c r="J60" s="93">
        <f>'CTB Form'!J34</f>
        <v>91</v>
      </c>
      <c r="K60" s="93">
        <f>'CTB Form'!K34</f>
        <v>53</v>
      </c>
      <c r="L60" s="93">
        <f>'CTB Form'!L34</f>
        <v>8</v>
      </c>
      <c r="M60" s="93">
        <f>'CTB Form'!M34</f>
        <v>698</v>
      </c>
      <c r="N60" s="84"/>
      <c r="O60" s="800"/>
      <c r="P60" s="801"/>
      <c r="Q60" s="371">
        <f>IF(AND((SUM(E64:M64)&lt;&gt;0),O60=""),1,0)</f>
        <v>0</v>
      </c>
      <c r="R60" s="371">
        <f>IF(AND((SUM(E64:M64)=0),O60=""),0,1)</f>
        <v>0</v>
      </c>
      <c r="S60" s="371">
        <f>IF(AND((SUM(E64:M64)=0),O60&lt;&gt;""),2,0)</f>
        <v>0</v>
      </c>
      <c r="T60" s="372">
        <f>SUM(Q60:S60)</f>
        <v>0</v>
      </c>
      <c r="U60" s="371">
        <f>IF(ISNUMBER(T60)=FALSE,"please delete invalid data entry on form",IF(T60=0,"",IF(T60=1,"Reason for differences",IF(T60=3,"No reason required, please DELETE entry below",IF(T60=2,"Please enter reason for differences in appropriate cell(s) below","")))))</f>
      </c>
    </row>
    <row r="61" spans="1:21" ht="15">
      <c r="A61" s="820"/>
      <c r="B61" s="65" t="s">
        <v>38</v>
      </c>
      <c r="C61" s="108"/>
      <c r="D61" s="73"/>
      <c r="E61" s="93">
        <f>'CTB Form'!E32</f>
        <v>2253</v>
      </c>
      <c r="F61" s="93">
        <f>'CTB Form'!F32</f>
        <v>11046</v>
      </c>
      <c r="G61" s="93">
        <f>'CTB Form'!G32</f>
        <v>30556</v>
      </c>
      <c r="H61" s="93">
        <f>'CTB Form'!H32</f>
        <v>29273</v>
      </c>
      <c r="I61" s="93">
        <f>'CTB Form'!I32</f>
        <v>20967</v>
      </c>
      <c r="J61" s="93">
        <f>'CTB Form'!J32</f>
        <v>5982</v>
      </c>
      <c r="K61" s="93">
        <f>'CTB Form'!K32</f>
        <v>3219</v>
      </c>
      <c r="L61" s="93">
        <f>'CTB Form'!L32</f>
        <v>239</v>
      </c>
      <c r="M61" s="93">
        <f>'CTB Form'!M32</f>
        <v>103535</v>
      </c>
      <c r="N61" s="84"/>
      <c r="O61" s="802"/>
      <c r="P61" s="803"/>
      <c r="Q61" s="369"/>
      <c r="R61" s="369"/>
      <c r="S61" s="369"/>
      <c r="T61" s="369"/>
      <c r="U61" s="369"/>
    </row>
    <row r="62" spans="1:21" ht="15">
      <c r="A62" s="820"/>
      <c r="B62" s="94" t="s">
        <v>899</v>
      </c>
      <c r="C62" s="102"/>
      <c r="D62" s="93"/>
      <c r="E62" s="93">
        <f>IF(E60+E61=0," ",IF(E61=0," ",ABS(E60/E61)*100))</f>
        <v>0.044385264092321346</v>
      </c>
      <c r="F62" s="93">
        <f aca="true" t="shared" si="6" ref="F62:M62">IF(F60+F61=0," ",IF(F61=0," ",ABS(F60/F61)*100))</f>
        <v>0.25348542458808615</v>
      </c>
      <c r="G62" s="93">
        <f t="shared" si="6"/>
        <v>0.25199633459876947</v>
      </c>
      <c r="H62" s="93">
        <f t="shared" si="6"/>
        <v>0.7652102620161924</v>
      </c>
      <c r="I62" s="93">
        <f t="shared" si="6"/>
        <v>1.0301902990413507</v>
      </c>
      <c r="J62" s="93">
        <f t="shared" si="6"/>
        <v>1.5212303577398862</v>
      </c>
      <c r="K62" s="93">
        <f t="shared" si="6"/>
        <v>1.6464740602671637</v>
      </c>
      <c r="L62" s="93">
        <f t="shared" si="6"/>
        <v>3.3472803347280333</v>
      </c>
      <c r="M62" s="93">
        <f t="shared" si="6"/>
        <v>0.6741681556961414</v>
      </c>
      <c r="N62" s="84"/>
      <c r="O62" s="802"/>
      <c r="P62" s="803"/>
      <c r="Q62" s="369"/>
      <c r="R62" s="369"/>
      <c r="S62" s="369"/>
      <c r="T62" s="369"/>
      <c r="U62" s="369"/>
    </row>
    <row r="63" spans="1:21" ht="15.75" thickBot="1">
      <c r="A63" s="820"/>
      <c r="B63" s="94"/>
      <c r="C63" s="102"/>
      <c r="D63" s="95"/>
      <c r="E63" s="95"/>
      <c r="F63" s="95"/>
      <c r="G63" s="95"/>
      <c r="H63" s="95"/>
      <c r="I63" s="95"/>
      <c r="J63" s="95"/>
      <c r="K63" s="95"/>
      <c r="L63" s="95"/>
      <c r="M63" s="95"/>
      <c r="N63" s="84"/>
      <c r="O63" s="802"/>
      <c r="P63" s="803"/>
      <c r="Q63" s="378"/>
      <c r="R63" s="369"/>
      <c r="S63" s="369"/>
      <c r="T63" s="369"/>
      <c r="U63" s="369"/>
    </row>
    <row r="64" spans="1:21" ht="30" customHeight="1" thickBot="1">
      <c r="A64" s="820"/>
      <c r="B64" s="80" t="str">
        <f>IF(SUM(E64:M64)=0,"Go to Test 7","Please explain the reason for the change in the yellow box on the right")</f>
        <v>Go to Test 7</v>
      </c>
      <c r="C64" s="110"/>
      <c r="D64" s="83"/>
      <c r="E64" s="75">
        <f>IF(E62&gt;+Parameters!C10,E62,"")</f>
      </c>
      <c r="F64" s="75">
        <f>IF(F62&gt;+Parameters!D10,F62,"")</f>
      </c>
      <c r="G64" s="75">
        <f>IF(G62&gt;+Parameters!E10,G62,"")</f>
      </c>
      <c r="H64" s="75">
        <f>IF(H62&gt;+Parameters!F10,H62,"")</f>
      </c>
      <c r="I64" s="75">
        <f>IF(I62&gt;+Parameters!G10,I62,"")</f>
      </c>
      <c r="J64" s="75">
        <f>IF(J62&gt;+Parameters!H10,J62,"")</f>
      </c>
      <c r="K64" s="75">
        <f>IF(K62&gt;+Parameters!I10,K62,"")</f>
      </c>
      <c r="L64" s="75">
        <f>IF(L62&gt;+Parameters!J10,L62,"")</f>
      </c>
      <c r="M64" s="75">
        <f>IF(M62&gt;+Parameters!K10,M62,"")</f>
      </c>
      <c r="N64" s="84"/>
      <c r="O64" s="804"/>
      <c r="P64" s="805"/>
      <c r="Q64" s="369"/>
      <c r="R64" s="369"/>
      <c r="S64" s="369"/>
      <c r="T64" s="369"/>
      <c r="U64" s="369"/>
    </row>
    <row r="65" spans="1:21" ht="15.75" customHeight="1">
      <c r="A65" s="820"/>
      <c r="B65" s="71"/>
      <c r="C65" s="110"/>
      <c r="D65" s="76"/>
      <c r="E65" s="77"/>
      <c r="F65" s="77"/>
      <c r="G65" s="77"/>
      <c r="H65" s="77"/>
      <c r="I65" s="77"/>
      <c r="J65" s="77"/>
      <c r="K65" s="77"/>
      <c r="L65" s="77"/>
      <c r="M65" s="77"/>
      <c r="N65" s="68"/>
      <c r="O65" s="808" t="s">
        <v>947</v>
      </c>
      <c r="P65" s="809"/>
      <c r="Q65" s="369"/>
      <c r="R65" s="369"/>
      <c r="S65" s="369"/>
      <c r="T65" s="369"/>
      <c r="U65" s="369"/>
    </row>
    <row r="66" spans="1:21" ht="20.25">
      <c r="A66" s="820"/>
      <c r="B66" s="99" t="str">
        <f>CONCATENATE("Continued : ",C2)</f>
        <v>Continued : Brent</v>
      </c>
      <c r="C66" s="110"/>
      <c r="D66" s="76"/>
      <c r="E66" s="77"/>
      <c r="F66" s="77"/>
      <c r="G66" s="77"/>
      <c r="H66" s="77"/>
      <c r="I66" s="77"/>
      <c r="J66" s="77"/>
      <c r="K66" s="77"/>
      <c r="L66" s="77"/>
      <c r="M66" s="77"/>
      <c r="N66" s="68"/>
      <c r="O66" s="96"/>
      <c r="P66" s="379"/>
      <c r="Q66" s="369"/>
      <c r="R66" s="369"/>
      <c r="S66" s="369"/>
      <c r="T66" s="369"/>
      <c r="U66" s="369"/>
    </row>
    <row r="67" spans="1:21" ht="15">
      <c r="A67" s="820"/>
      <c r="B67" s="94"/>
      <c r="C67" s="102"/>
      <c r="D67" s="95"/>
      <c r="E67" s="95"/>
      <c r="F67" s="95"/>
      <c r="G67" s="95"/>
      <c r="H67" s="95"/>
      <c r="I67" s="95"/>
      <c r="J67" s="95"/>
      <c r="K67" s="95"/>
      <c r="L67" s="95"/>
      <c r="M67" s="95"/>
      <c r="N67" s="84"/>
      <c r="O67" s="84"/>
      <c r="P67" s="84"/>
      <c r="Q67" s="369"/>
      <c r="R67" s="369"/>
      <c r="S67" s="369"/>
      <c r="T67" s="369"/>
      <c r="U67" s="369"/>
    </row>
    <row r="68" spans="1:21" ht="15.75">
      <c r="A68" s="820"/>
      <c r="B68" s="91" t="s">
        <v>39</v>
      </c>
      <c r="C68" s="95"/>
      <c r="D68" s="95"/>
      <c r="E68" s="95"/>
      <c r="F68" s="95"/>
      <c r="G68" s="95"/>
      <c r="H68" s="95"/>
      <c r="I68" s="95"/>
      <c r="J68" s="95"/>
      <c r="K68" s="95"/>
      <c r="L68" s="95"/>
      <c r="M68" s="95"/>
      <c r="N68" s="84"/>
      <c r="O68" s="84"/>
      <c r="P68" s="84"/>
      <c r="Q68" s="369"/>
      <c r="R68" s="369"/>
      <c r="S68" s="369"/>
      <c r="T68" s="369"/>
      <c r="U68" s="369"/>
    </row>
    <row r="69" spans="1:21" ht="13.5" thickBot="1">
      <c r="A69" s="820"/>
      <c r="B69" s="84"/>
      <c r="C69" s="95"/>
      <c r="D69" s="95"/>
      <c r="E69" s="95"/>
      <c r="F69" s="95"/>
      <c r="G69" s="95"/>
      <c r="H69" s="95"/>
      <c r="I69" s="95"/>
      <c r="J69" s="95"/>
      <c r="K69" s="95"/>
      <c r="L69" s="95"/>
      <c r="M69" s="95"/>
      <c r="N69" s="84"/>
      <c r="O69" s="370">
        <f>U70</f>
      </c>
      <c r="P69" s="84"/>
      <c r="Q69" s="369"/>
      <c r="R69" s="369"/>
      <c r="S69" s="369"/>
      <c r="T69" s="369"/>
      <c r="U69" s="369"/>
    </row>
    <row r="70" spans="1:21" ht="23.25">
      <c r="A70" s="820"/>
      <c r="B70" s="65" t="s">
        <v>37</v>
      </c>
      <c r="C70" s="108"/>
      <c r="D70" s="97"/>
      <c r="E70" s="93">
        <f>'CTB Form'!E34</f>
        <v>1</v>
      </c>
      <c r="F70" s="93">
        <f>'CTB Form'!F34</f>
        <v>28</v>
      </c>
      <c r="G70" s="93">
        <f>'CTB Form'!G34</f>
        <v>77</v>
      </c>
      <c r="H70" s="93">
        <f>'CTB Form'!H34</f>
        <v>224</v>
      </c>
      <c r="I70" s="93">
        <f>'CTB Form'!I34</f>
        <v>216</v>
      </c>
      <c r="J70" s="93">
        <f>'CTB Form'!J34</f>
        <v>91</v>
      </c>
      <c r="K70" s="93">
        <f>'CTB Form'!K34</f>
        <v>53</v>
      </c>
      <c r="L70" s="93">
        <f>'CTB Form'!L34</f>
        <v>8</v>
      </c>
      <c r="M70" s="93">
        <f>'CTB Form'!M34</f>
        <v>698</v>
      </c>
      <c r="N70" s="84"/>
      <c r="O70" s="800"/>
      <c r="P70" s="801"/>
      <c r="Q70" s="371">
        <f>IF(AND((SUM(E74:M74)&lt;&gt;0),O70=""),1,0)</f>
        <v>0</v>
      </c>
      <c r="R70" s="371">
        <f>IF(AND((SUM(E74:M74)=0),O70=""),0,1)</f>
        <v>0</v>
      </c>
      <c r="S70" s="371">
        <f>IF(AND((SUM(E74:M74)=0),O70&lt;&gt;""),2,0)</f>
        <v>0</v>
      </c>
      <c r="T70" s="372">
        <f>SUM(Q70:S70)</f>
        <v>0</v>
      </c>
      <c r="U70" s="371">
        <f>IF(ISNUMBER(T70)=FALSE,"please delete invalid data entry on form",IF(T70=0,"",IF(T70=1,"Reason for differences",IF(T70=3,"No reason required, please DELETE entry below",IF(T70=2,"Please enter reason for differences in appropriate cell(s) below","")))))</f>
      </c>
    </row>
    <row r="71" spans="1:21" ht="15">
      <c r="A71" s="820"/>
      <c r="B71" s="65" t="s">
        <v>102</v>
      </c>
      <c r="C71" s="108"/>
      <c r="D71" s="73"/>
      <c r="E71" s="87">
        <f>VLOOKUP('CTB Form'!$G$5,Data!$A$9:$DK$364,35,FALSE)</f>
        <v>1</v>
      </c>
      <c r="F71" s="87">
        <f>VLOOKUP('CTB Form'!$G$5,Data!$A$9:$DK$364,36,FALSE)</f>
        <v>29</v>
      </c>
      <c r="G71" s="87">
        <f>VLOOKUP('CTB Form'!$G$5,Data!$A$9:$DK$364,37,FALSE)</f>
        <v>85</v>
      </c>
      <c r="H71" s="87">
        <f>VLOOKUP('CTB Form'!$G$5,Data!$A$9:$DK$364,38,FALSE)</f>
        <v>227</v>
      </c>
      <c r="I71" s="87">
        <f>VLOOKUP('CTB Form'!$G$5,Data!$A$9:$DK$364,39,FALSE)</f>
        <v>216</v>
      </c>
      <c r="J71" s="87">
        <f>VLOOKUP('CTB Form'!$G$5,Data!$A$9:$DK$364,40,FALSE)</f>
        <v>88</v>
      </c>
      <c r="K71" s="87">
        <f>VLOOKUP('CTB Form'!$G$5,Data!$A$9:$DK$364,41,FALSE)</f>
        <v>51</v>
      </c>
      <c r="L71" s="87">
        <f>VLOOKUP('CTB Form'!$G$5,Data!$A$9:$DK$364,42,FALSE)</f>
        <v>6</v>
      </c>
      <c r="M71" s="87">
        <f>VLOOKUP('CTB Form'!$G$5,Data!$A$9:$DK$364,43,FALSE)</f>
        <v>703</v>
      </c>
      <c r="N71" s="84"/>
      <c r="O71" s="802"/>
      <c r="P71" s="803"/>
      <c r="Q71" s="369"/>
      <c r="R71" s="369"/>
      <c r="S71" s="369"/>
      <c r="T71" s="369"/>
      <c r="U71" s="369"/>
    </row>
    <row r="72" spans="1:21" ht="15">
      <c r="A72" s="820"/>
      <c r="B72" s="94"/>
      <c r="C72" s="102" t="s">
        <v>928</v>
      </c>
      <c r="D72" s="93"/>
      <c r="E72" s="93">
        <f>IF(E70+E71=0," ",IF(E71=0," ",ABS(E70-E71)/E71*100))</f>
        <v>0</v>
      </c>
      <c r="F72" s="93">
        <f aca="true" t="shared" si="7" ref="F72:M72">IF(F70+F71=0," ",IF(F71=0," ",ABS(F70-F71)/F71*100))</f>
        <v>3.4482758620689653</v>
      </c>
      <c r="G72" s="93">
        <f t="shared" si="7"/>
        <v>9.411764705882353</v>
      </c>
      <c r="H72" s="93">
        <f t="shared" si="7"/>
        <v>1.3215859030837005</v>
      </c>
      <c r="I72" s="93">
        <f t="shared" si="7"/>
        <v>0</v>
      </c>
      <c r="J72" s="93">
        <f t="shared" si="7"/>
        <v>3.4090909090909087</v>
      </c>
      <c r="K72" s="93">
        <f t="shared" si="7"/>
        <v>3.9215686274509802</v>
      </c>
      <c r="L72" s="93">
        <f t="shared" si="7"/>
        <v>33.33333333333333</v>
      </c>
      <c r="M72" s="93">
        <f t="shared" si="7"/>
        <v>0.7112375533428165</v>
      </c>
      <c r="N72" s="84"/>
      <c r="O72" s="802"/>
      <c r="P72" s="803"/>
      <c r="Q72" s="369"/>
      <c r="R72" s="369"/>
      <c r="S72" s="369"/>
      <c r="T72" s="369"/>
      <c r="U72" s="369"/>
    </row>
    <row r="73" spans="1:21" ht="15.75" thickBot="1">
      <c r="A73" s="820"/>
      <c r="B73" s="94"/>
      <c r="C73" s="102"/>
      <c r="D73" s="95"/>
      <c r="E73" s="95"/>
      <c r="F73" s="95"/>
      <c r="G73" s="95"/>
      <c r="H73" s="95"/>
      <c r="I73" s="95"/>
      <c r="J73" s="95"/>
      <c r="K73" s="95"/>
      <c r="L73" s="95"/>
      <c r="M73" s="95"/>
      <c r="N73" s="84"/>
      <c r="O73" s="802"/>
      <c r="P73" s="803"/>
      <c r="Q73" s="378"/>
      <c r="R73" s="369"/>
      <c r="S73" s="369"/>
      <c r="T73" s="369"/>
      <c r="U73" s="369"/>
    </row>
    <row r="74" spans="1:21" ht="30" customHeight="1" thickBot="1">
      <c r="A74" s="820"/>
      <c r="B74" s="80" t="str">
        <f>IF(SUM(E74:M74)=0,"Go to Test 8","Please explain the reason for the change in the yellow box on the right")</f>
        <v>Go to Test 8</v>
      </c>
      <c r="C74" s="110"/>
      <c r="D74" s="83"/>
      <c r="E74" s="74">
        <f>IF(AND(E71&gt;20,E72&gt;+Parameters!B13),E72,"")</f>
      </c>
      <c r="F74" s="74">
        <f>IF(AND(F71&gt;20,F72&gt;+Parameters!C13),F72,"")</f>
      </c>
      <c r="G74" s="74">
        <f>IF(AND(G71&gt;20,G72&gt;+Parameters!D13),G72,"")</f>
      </c>
      <c r="H74" s="74">
        <f>IF(AND(H71&gt;20,H72&gt;+Parameters!E13),H72,"")</f>
      </c>
      <c r="I74" s="74">
        <f>IF(AND(I71&gt;20,I72&gt;+Parameters!F13),I72,"")</f>
      </c>
      <c r="J74" s="74">
        <f>IF(AND(J71&gt;20,J72&gt;+Parameters!G13),J72,"")</f>
      </c>
      <c r="K74" s="74">
        <f>IF(AND(K71&gt;20,K72&gt;+Parameters!H13),K72,"")</f>
      </c>
      <c r="L74" s="74">
        <f>IF(AND(L71&gt;20,L72&gt;+Parameters!I13),L72,"")</f>
      </c>
      <c r="M74" s="74">
        <f>IF(AND(M71&gt;20,M72&gt;+Parameters!J13),M72,"")</f>
      </c>
      <c r="N74" s="84"/>
      <c r="O74" s="804"/>
      <c r="P74" s="805"/>
      <c r="Q74" s="369"/>
      <c r="R74" s="369"/>
      <c r="S74" s="369"/>
      <c r="T74" s="369"/>
      <c r="U74" s="369"/>
    </row>
    <row r="75" spans="1:21" ht="15" customHeight="1">
      <c r="A75" s="820"/>
      <c r="B75" s="94"/>
      <c r="C75" s="102"/>
      <c r="D75" s="95"/>
      <c r="E75" s="95"/>
      <c r="F75" s="95"/>
      <c r="G75" s="95"/>
      <c r="H75" s="95"/>
      <c r="I75" s="95"/>
      <c r="J75" s="95"/>
      <c r="K75" s="95"/>
      <c r="L75" s="95"/>
      <c r="M75" s="95"/>
      <c r="N75" s="84"/>
      <c r="O75" s="808" t="s">
        <v>947</v>
      </c>
      <c r="P75" s="809"/>
      <c r="Q75" s="369"/>
      <c r="R75" s="369"/>
      <c r="S75" s="369"/>
      <c r="T75" s="369"/>
      <c r="U75" s="369"/>
    </row>
    <row r="76" spans="1:21" ht="15.75">
      <c r="A76" s="820"/>
      <c r="B76" s="91" t="s">
        <v>40</v>
      </c>
      <c r="C76" s="102"/>
      <c r="D76" s="95"/>
      <c r="E76" s="95"/>
      <c r="F76" s="95"/>
      <c r="G76" s="95"/>
      <c r="H76" s="95"/>
      <c r="I76" s="95"/>
      <c r="J76" s="95"/>
      <c r="K76" s="95"/>
      <c r="L76" s="95"/>
      <c r="M76" s="95"/>
      <c r="N76" s="84"/>
      <c r="O76" s="96"/>
      <c r="P76" s="379"/>
      <c r="Q76" s="369"/>
      <c r="R76" s="369"/>
      <c r="S76" s="369"/>
      <c r="T76" s="369"/>
      <c r="U76" s="369"/>
    </row>
    <row r="77" spans="1:21" ht="15.75" thickBot="1">
      <c r="A77" s="820"/>
      <c r="B77" s="94"/>
      <c r="C77" s="102"/>
      <c r="D77" s="95"/>
      <c r="E77" s="95"/>
      <c r="F77" s="95"/>
      <c r="G77" s="95"/>
      <c r="H77" s="95"/>
      <c r="I77" s="95"/>
      <c r="J77" s="95"/>
      <c r="K77" s="95"/>
      <c r="L77" s="95"/>
      <c r="M77" s="95"/>
      <c r="N77" s="84"/>
      <c r="O77" s="370">
        <f>U78</f>
      </c>
      <c r="P77" s="84"/>
      <c r="Q77" s="369"/>
      <c r="R77" s="369"/>
      <c r="S77" s="369"/>
      <c r="T77" s="369"/>
      <c r="U77" s="369"/>
    </row>
    <row r="78" spans="1:21" ht="23.25">
      <c r="A78" s="820"/>
      <c r="B78" s="65" t="s">
        <v>37</v>
      </c>
      <c r="C78" s="108"/>
      <c r="D78" s="97"/>
      <c r="E78" s="93">
        <f>'CTB Form'!E34</f>
        <v>1</v>
      </c>
      <c r="F78" s="93">
        <f>'CTB Form'!F34</f>
        <v>28</v>
      </c>
      <c r="G78" s="93">
        <f>'CTB Form'!G34</f>
        <v>77</v>
      </c>
      <c r="H78" s="93">
        <f>'CTB Form'!H34</f>
        <v>224</v>
      </c>
      <c r="I78" s="93">
        <f>'CTB Form'!I34</f>
        <v>216</v>
      </c>
      <c r="J78" s="93">
        <f>'CTB Form'!J34</f>
        <v>91</v>
      </c>
      <c r="K78" s="93">
        <f>'CTB Form'!K34</f>
        <v>53</v>
      </c>
      <c r="L78" s="93">
        <f>'CTB Form'!L34</f>
        <v>8</v>
      </c>
      <c r="M78" s="93">
        <f>'CTB Form'!M34</f>
        <v>698</v>
      </c>
      <c r="N78" s="84"/>
      <c r="O78" s="800"/>
      <c r="P78" s="801"/>
      <c r="Q78" s="371">
        <f>IF(AND((SUM(E82:M82)&lt;&gt;0),O78=""),1,0)</f>
        <v>0</v>
      </c>
      <c r="R78" s="371">
        <f>IF(AND((SUM(E82:M82)=0),O78=""),0,1)</f>
        <v>0</v>
      </c>
      <c r="S78" s="371">
        <f>IF(AND((SUM(E82:M82)=0),O78&lt;&gt;""),2,0)</f>
        <v>0</v>
      </c>
      <c r="T78" s="372">
        <f>SUM(Q78:S78)</f>
        <v>0</v>
      </c>
      <c r="U78" s="371">
        <f>IF(ISNUMBER(T78)=FALSE,"please delete invalid data entry on form",IF(T78=0,"",IF(T78=1,"Reason for differences",IF(T78=3,"No reason required, please DELETE entry below",IF(T78=2,"Please enter reason for differences in appropriate cell(s) below","")))))</f>
      </c>
    </row>
    <row r="79" spans="1:21" ht="15">
      <c r="A79" s="820"/>
      <c r="B79" s="65" t="s">
        <v>102</v>
      </c>
      <c r="C79" s="108"/>
      <c r="D79" s="73"/>
      <c r="E79" s="87">
        <f>VLOOKUP('CTB Form'!$G$5,Data!$A$9:$DK$364,35,FALSE)</f>
        <v>1</v>
      </c>
      <c r="F79" s="87">
        <f>VLOOKUP('CTB Form'!$G$5,Data!$A$9:$DK$364,36,FALSE)</f>
        <v>29</v>
      </c>
      <c r="G79" s="87">
        <f>VLOOKUP('CTB Form'!$G$5,Data!$A$9:$DK$364,37,FALSE)</f>
        <v>85</v>
      </c>
      <c r="H79" s="87">
        <f>VLOOKUP('CTB Form'!$G$5,Data!$A$9:$DK$364,38,FALSE)</f>
        <v>227</v>
      </c>
      <c r="I79" s="87">
        <f>VLOOKUP('CTB Form'!$G$5,Data!$A$9:$DK$364,39,FALSE)</f>
        <v>216</v>
      </c>
      <c r="J79" s="87">
        <f>VLOOKUP('CTB Form'!$G$5,Data!$A$9:$DK$364,40,FALSE)</f>
        <v>88</v>
      </c>
      <c r="K79" s="87">
        <f>VLOOKUP('CTB Form'!$G$5,Data!$A$9:$DK$364,41,FALSE)</f>
        <v>51</v>
      </c>
      <c r="L79" s="87">
        <f>VLOOKUP('CTB Form'!$G$5,Data!$A$9:$DK$364,42,FALSE)</f>
        <v>6</v>
      </c>
      <c r="M79" s="87">
        <f>VLOOKUP('CTB Form'!$G$5,Data!$A$9:$DK$364,43,FALSE)</f>
        <v>703</v>
      </c>
      <c r="N79" s="84"/>
      <c r="O79" s="802"/>
      <c r="P79" s="803"/>
      <c r="Q79" s="369"/>
      <c r="R79" s="369"/>
      <c r="S79" s="369"/>
      <c r="T79" s="369"/>
      <c r="U79" s="369"/>
    </row>
    <row r="80" spans="1:21" ht="15">
      <c r="A80" s="820"/>
      <c r="B80" s="94"/>
      <c r="C80" s="102" t="s">
        <v>894</v>
      </c>
      <c r="D80" s="93"/>
      <c r="E80" s="98">
        <f>IF(E78+E79=0," ",IF(E79=0," ",ABS(E78-E79)))</f>
        <v>0</v>
      </c>
      <c r="F80" s="98">
        <f aca="true" t="shared" si="8" ref="F80:M80">IF(F78+F79=0," ",IF(F79=0," ",ABS(F78-F79)))</f>
        <v>1</v>
      </c>
      <c r="G80" s="98">
        <f t="shared" si="8"/>
        <v>8</v>
      </c>
      <c r="H80" s="98">
        <f t="shared" si="8"/>
        <v>3</v>
      </c>
      <c r="I80" s="98">
        <f t="shared" si="8"/>
        <v>0</v>
      </c>
      <c r="J80" s="98">
        <f t="shared" si="8"/>
        <v>3</v>
      </c>
      <c r="K80" s="98">
        <f t="shared" si="8"/>
        <v>2</v>
      </c>
      <c r="L80" s="98">
        <f t="shared" si="8"/>
        <v>2</v>
      </c>
      <c r="M80" s="98">
        <f t="shared" si="8"/>
        <v>5</v>
      </c>
      <c r="N80" s="84"/>
      <c r="O80" s="802"/>
      <c r="P80" s="803"/>
      <c r="Q80" s="369"/>
      <c r="R80" s="369"/>
      <c r="S80" s="369"/>
      <c r="T80" s="369"/>
      <c r="U80" s="369"/>
    </row>
    <row r="81" spans="1:21" ht="15.75" thickBot="1">
      <c r="A81" s="820"/>
      <c r="B81" s="94"/>
      <c r="C81" s="102"/>
      <c r="D81" s="95"/>
      <c r="E81" s="95"/>
      <c r="F81" s="4"/>
      <c r="G81" s="95"/>
      <c r="H81" s="95"/>
      <c r="I81" s="95"/>
      <c r="J81" s="95"/>
      <c r="K81" s="95"/>
      <c r="L81" s="95"/>
      <c r="M81" s="95"/>
      <c r="N81" s="84"/>
      <c r="O81" s="802"/>
      <c r="P81" s="803"/>
      <c r="Q81" s="378"/>
      <c r="R81" s="369"/>
      <c r="S81" s="369"/>
      <c r="T81" s="369"/>
      <c r="U81" s="369"/>
    </row>
    <row r="82" spans="1:21" ht="30" customHeight="1" thickBot="1">
      <c r="A82" s="672"/>
      <c r="B82" s="80" t="str">
        <f>IF(SUM(E82:M82)=0,"Go to Test 9","Please explain the reason for the change in the yellow box on the right")</f>
        <v>Go to Test 9</v>
      </c>
      <c r="C82" s="110"/>
      <c r="D82" s="83"/>
      <c r="E82" s="86">
        <f>IF(AND(E79&lt;=20,E80&gt;+Parameters!C12),E80,"")</f>
      </c>
      <c r="F82" s="86">
        <f>IF(AND(F79&lt;=20,F80&gt;+Parameters!D12),F80,"")</f>
      </c>
      <c r="G82" s="86">
        <f>IF(AND(G79&lt;=20,G80&gt;+Parameters!E12),G80,"")</f>
      </c>
      <c r="H82" s="86">
        <f>IF(AND(H79&lt;=20,H80&gt;+Parameters!F12),H80,"")</f>
      </c>
      <c r="I82" s="86">
        <f>IF(AND(I79&lt;=20,I80&gt;+Parameters!G12),I80,"")</f>
      </c>
      <c r="J82" s="86">
        <f>IF(AND(J79&lt;=20,J80&gt;+Parameters!H12),J80,"")</f>
      </c>
      <c r="K82" s="86">
        <f>IF(AND(K79&lt;=20,K80&gt;+Parameters!I12),K80,"")</f>
      </c>
      <c r="L82" s="86">
        <f>IF(AND(L79&lt;=20,L80&gt;+Parameters!J12),L80,"")</f>
      </c>
      <c r="M82" s="86">
        <f>IF(AND(M79&lt;=20,M80&gt;+Parameters!K12),M80,"")</f>
      </c>
      <c r="N82" s="84"/>
      <c r="O82" s="804"/>
      <c r="P82" s="805"/>
      <c r="Q82" s="369"/>
      <c r="R82" s="369"/>
      <c r="S82" s="369"/>
      <c r="T82" s="369"/>
      <c r="U82" s="369"/>
    </row>
    <row r="83" spans="1:21" ht="15.75" customHeight="1" thickBot="1">
      <c r="A83" s="821"/>
      <c r="B83" s="386"/>
      <c r="C83" s="387"/>
      <c r="D83" s="388"/>
      <c r="E83" s="388"/>
      <c r="F83" s="388"/>
      <c r="G83" s="388"/>
      <c r="H83" s="388"/>
      <c r="I83" s="388"/>
      <c r="J83" s="388"/>
      <c r="K83" s="388"/>
      <c r="L83" s="388"/>
      <c r="M83" s="388"/>
      <c r="N83" s="389"/>
      <c r="O83" s="806" t="s">
        <v>947</v>
      </c>
      <c r="P83" s="807"/>
      <c r="Q83" s="369"/>
      <c r="R83" s="369"/>
      <c r="S83" s="369"/>
      <c r="T83" s="369"/>
      <c r="U83" s="369"/>
    </row>
    <row r="84" spans="1:16" s="64" customFormat="1" ht="15.75" customHeight="1" thickTop="1">
      <c r="A84" s="833" t="s">
        <v>924</v>
      </c>
      <c r="B84" s="65"/>
      <c r="C84" s="108"/>
      <c r="D84" s="798"/>
      <c r="E84" s="799"/>
      <c r="F84" s="799"/>
      <c r="G84" s="799"/>
      <c r="H84" s="799"/>
      <c r="I84" s="799"/>
      <c r="J84" s="799"/>
      <c r="K84" s="799"/>
      <c r="L84" s="799"/>
      <c r="M84" s="799"/>
      <c r="N84" s="799"/>
      <c r="O84" s="799"/>
      <c r="P84" s="799"/>
    </row>
    <row r="85" spans="1:16" s="64" customFormat="1" ht="15">
      <c r="A85" s="834"/>
      <c r="B85" s="65"/>
      <c r="C85" s="108"/>
      <c r="D85" s="78"/>
      <c r="E85" s="78"/>
      <c r="F85" s="78"/>
      <c r="G85" s="78"/>
      <c r="H85" s="78"/>
      <c r="I85" s="78"/>
      <c r="J85" s="78"/>
      <c r="K85" s="78"/>
      <c r="L85" s="78"/>
      <c r="M85" s="78"/>
      <c r="N85" s="68"/>
      <c r="O85" s="70"/>
      <c r="P85" s="70"/>
    </row>
    <row r="86" spans="1:21" s="64" customFormat="1" ht="15.75">
      <c r="A86" s="834"/>
      <c r="B86" s="63" t="s">
        <v>41</v>
      </c>
      <c r="C86" s="108"/>
      <c r="D86" s="78"/>
      <c r="E86" s="78"/>
      <c r="F86" s="78"/>
      <c r="G86" s="78"/>
      <c r="H86" s="78"/>
      <c r="I86" s="78"/>
      <c r="J86" s="78"/>
      <c r="K86" s="78"/>
      <c r="L86" s="78"/>
      <c r="M86" s="78"/>
      <c r="N86" s="68"/>
      <c r="O86" s="96"/>
      <c r="P86" s="379"/>
      <c r="Q86" s="369"/>
      <c r="R86" s="369"/>
      <c r="S86" s="369"/>
      <c r="T86" s="369"/>
      <c r="U86" s="369"/>
    </row>
    <row r="87" spans="1:21" s="64" customFormat="1" ht="15.75" thickBot="1">
      <c r="A87" s="834"/>
      <c r="B87" s="65"/>
      <c r="C87" s="108"/>
      <c r="D87" s="78"/>
      <c r="E87" s="78"/>
      <c r="F87" s="78"/>
      <c r="G87" s="78"/>
      <c r="H87" s="78"/>
      <c r="I87" s="78"/>
      <c r="J87" s="78"/>
      <c r="K87" s="78"/>
      <c r="L87" s="78"/>
      <c r="M87" s="78"/>
      <c r="N87" s="68"/>
      <c r="O87" s="370">
        <f>U88</f>
      </c>
      <c r="P87" s="84"/>
      <c r="Q87" s="369"/>
      <c r="R87" s="369"/>
      <c r="S87" s="369"/>
      <c r="T87" s="369"/>
      <c r="U87" s="369"/>
    </row>
    <row r="88" spans="1:21" s="64" customFormat="1" ht="23.25">
      <c r="A88" s="834"/>
      <c r="B88" s="65" t="s">
        <v>42</v>
      </c>
      <c r="C88" s="108"/>
      <c r="D88" s="93">
        <f>'CTB Form'!D40</f>
        <v>1</v>
      </c>
      <c r="E88" s="93">
        <f>'CTB Form'!E40</f>
        <v>1088</v>
      </c>
      <c r="F88" s="93">
        <f>'CTB Form'!F40</f>
        <v>6887</v>
      </c>
      <c r="G88" s="93">
        <f>'CTB Form'!G40</f>
        <v>15005</v>
      </c>
      <c r="H88" s="93">
        <f>'CTB Form'!H40</f>
        <v>8980</v>
      </c>
      <c r="I88" s="93">
        <f>'CTB Form'!I40</f>
        <v>4663</v>
      </c>
      <c r="J88" s="93">
        <f>'CTB Form'!J40</f>
        <v>980</v>
      </c>
      <c r="K88" s="93">
        <f>'CTB Form'!K40</f>
        <v>474</v>
      </c>
      <c r="L88" s="93">
        <f>'CTB Form'!L40</f>
        <v>13</v>
      </c>
      <c r="M88" s="93">
        <f>'CTB Form'!M40</f>
        <v>38091</v>
      </c>
      <c r="N88" s="68"/>
      <c r="O88" s="800"/>
      <c r="P88" s="801"/>
      <c r="Q88" s="371">
        <f>IF(AND((SUM(E92:M92)&lt;&gt;0),O88=""),1,0)</f>
        <v>0</v>
      </c>
      <c r="R88" s="371">
        <f>IF(AND((SUM(E92:M92)=0),O88=""),0,1)</f>
        <v>0</v>
      </c>
      <c r="S88" s="371">
        <f>IF(AND((SUM(E92:M92)=0),O88&lt;&gt;""),2,0)</f>
        <v>0</v>
      </c>
      <c r="T88" s="372">
        <f>SUM(Q88:S88)</f>
        <v>0</v>
      </c>
      <c r="U88" s="371">
        <f>IF(ISNUMBER(T88)=FALSE,"please delete invalid data entry on form",IF(T88=0,"",IF(T88=1,"Reason for differences",IF(T88=3,"No reason required, please DELETE entry below",IF(T88=2,"Please enter reason for differences in appropriate cell(s) below","")))))</f>
      </c>
    </row>
    <row r="89" spans="1:21" s="64" customFormat="1" ht="15">
      <c r="A89" s="834"/>
      <c r="B89" s="65" t="s">
        <v>103</v>
      </c>
      <c r="C89" s="108"/>
      <c r="D89" s="87">
        <f>VLOOKUP('CTB Form'!$G$5,Data!$A$9:$DK$364,44,FALSE)</f>
        <v>1</v>
      </c>
      <c r="E89" s="87">
        <f>VLOOKUP('CTB Form'!$G$5,Data!$A$9:$DK$364,45,FALSE)</f>
        <v>1185</v>
      </c>
      <c r="F89" s="87">
        <f>VLOOKUP('CTB Form'!$G$5,Data!$A$9:$DK$364,46,FALSE)</f>
        <v>6753</v>
      </c>
      <c r="G89" s="87">
        <f>VLOOKUP('CTB Form'!$G$5,Data!$A$9:$DK$364,47,FALSE)</f>
        <v>15069</v>
      </c>
      <c r="H89" s="87">
        <f>VLOOKUP('CTB Form'!$G$5,Data!$A$9:$DK$364,48,FALSE)</f>
        <v>9015</v>
      </c>
      <c r="I89" s="87">
        <f>VLOOKUP('CTB Form'!$G$5,Data!$A$9:$DK$364,49,FALSE)</f>
        <v>4777</v>
      </c>
      <c r="J89" s="87">
        <f>VLOOKUP('CTB Form'!$G$5,Data!$A$9:$DK$364,50,FALSE)</f>
        <v>1023</v>
      </c>
      <c r="K89" s="87">
        <f>VLOOKUP('CTB Form'!$G$5,Data!$A$9:$DK$364,51,FALSE)</f>
        <v>470</v>
      </c>
      <c r="L89" s="87">
        <f>VLOOKUP('CTB Form'!$G$5,Data!$A$9:$DK$364,52,FALSE)</f>
        <v>12</v>
      </c>
      <c r="M89" s="87">
        <f>VLOOKUP('CTB Form'!$G$5,Data!$A$9:$DK$364,53,FALSE)</f>
        <v>38305</v>
      </c>
      <c r="N89" s="68"/>
      <c r="O89" s="802"/>
      <c r="P89" s="803"/>
      <c r="Q89" s="369"/>
      <c r="R89" s="369"/>
      <c r="S89" s="369"/>
      <c r="T89" s="369"/>
      <c r="U89" s="369"/>
    </row>
    <row r="90" spans="1:21" s="64" customFormat="1" ht="15">
      <c r="A90" s="834"/>
      <c r="B90" s="94"/>
      <c r="C90" s="102" t="s">
        <v>928</v>
      </c>
      <c r="D90" s="93">
        <f>IF(D88+D89=0," ",IF(E89=0," ",ABS(D88-D89)/D89*100))</f>
        <v>0</v>
      </c>
      <c r="E90" s="93">
        <f aca="true" t="shared" si="9" ref="E90:M90">IF(E88+E89=0," ",IF(F89=0," ",ABS(E88-E89)/E89*100))</f>
        <v>8.185654008438819</v>
      </c>
      <c r="F90" s="93">
        <f t="shared" si="9"/>
        <v>1.9843032726195764</v>
      </c>
      <c r="G90" s="93">
        <f t="shared" si="9"/>
        <v>0.42471298692680337</v>
      </c>
      <c r="H90" s="93">
        <f t="shared" si="9"/>
        <v>0.3882418191902385</v>
      </c>
      <c r="I90" s="93">
        <f t="shared" si="9"/>
        <v>2.386435001046682</v>
      </c>
      <c r="J90" s="93">
        <f t="shared" si="9"/>
        <v>4.203323558162268</v>
      </c>
      <c r="K90" s="93">
        <f t="shared" si="9"/>
        <v>0.851063829787234</v>
      </c>
      <c r="L90" s="93">
        <f t="shared" si="9"/>
        <v>8.333333333333332</v>
      </c>
      <c r="M90" s="93" t="str">
        <f t="shared" si="9"/>
        <v> </v>
      </c>
      <c r="N90" s="68"/>
      <c r="O90" s="802"/>
      <c r="P90" s="803"/>
      <c r="Q90" s="369"/>
      <c r="R90" s="369"/>
      <c r="S90" s="369"/>
      <c r="T90" s="369"/>
      <c r="U90" s="369"/>
    </row>
    <row r="91" spans="1:21" s="64" customFormat="1" ht="15.75" thickBot="1">
      <c r="A91" s="834"/>
      <c r="B91" s="94"/>
      <c r="C91" s="102"/>
      <c r="D91" s="95"/>
      <c r="E91" s="95"/>
      <c r="F91" s="95"/>
      <c r="G91" s="95"/>
      <c r="H91" s="95"/>
      <c r="I91" s="95"/>
      <c r="J91" s="95"/>
      <c r="K91" s="95"/>
      <c r="L91" s="95"/>
      <c r="M91" s="95"/>
      <c r="N91" s="68"/>
      <c r="O91" s="802"/>
      <c r="P91" s="803"/>
      <c r="Q91" s="378"/>
      <c r="R91" s="369"/>
      <c r="S91" s="369"/>
      <c r="T91" s="369"/>
      <c r="U91" s="369"/>
    </row>
    <row r="92" spans="1:21" s="64" customFormat="1" ht="30" customHeight="1" thickBot="1">
      <c r="A92" s="834"/>
      <c r="B92" s="80" t="str">
        <f>IF(SUM(E92:M92)=0,"Go to Test 10","Please explain the reason for the change in the yellow box on the right")</f>
        <v>Go to Test 10</v>
      </c>
      <c r="C92" s="111"/>
      <c r="D92" s="74">
        <f>IF(AND(D89&gt;20,D90&gt;+Parameters!B13),D90,"")</f>
      </c>
      <c r="E92" s="74">
        <f>IF(AND(E89&gt;20,E90&gt;+Parameters!C13),E90,"")</f>
      </c>
      <c r="F92" s="74">
        <f>IF(AND(F89&gt;20,F90&gt;+Parameters!D13),F90,"")</f>
      </c>
      <c r="G92" s="74">
        <f>IF(AND(G89&gt;20,G90&gt;+Parameters!E13),G90,"")</f>
      </c>
      <c r="H92" s="74">
        <f>IF(AND(H89&gt;20,H90&gt;+Parameters!F13),H90,"")</f>
      </c>
      <c r="I92" s="74">
        <f>IF(AND(I89&gt;20,I90&gt;+Parameters!G13),I90,"")</f>
      </c>
      <c r="J92" s="74">
        <f>IF(AND(J89&gt;20,J90&gt;+Parameters!H13),J90,"")</f>
      </c>
      <c r="K92" s="74">
        <f>IF(AND(K89&gt;20,K90&gt;+Parameters!I13),K90,"")</f>
      </c>
      <c r="L92" s="74">
        <f>IF(AND(L89&gt;20,L90&gt;+Parameters!J13),L90,"")</f>
      </c>
      <c r="M92" s="74" t="str">
        <f>IF(AND(M89&gt;20,M90&gt;+Parameters!K13),M90,"")</f>
        <v> </v>
      </c>
      <c r="N92" s="68"/>
      <c r="O92" s="804"/>
      <c r="P92" s="805"/>
      <c r="Q92" s="369"/>
      <c r="R92" s="369"/>
      <c r="S92" s="369"/>
      <c r="T92" s="369"/>
      <c r="U92" s="369"/>
    </row>
    <row r="93" spans="1:21" s="64" customFormat="1" ht="21" thickBot="1">
      <c r="A93" s="835"/>
      <c r="B93" s="390"/>
      <c r="C93" s="391"/>
      <c r="D93" s="392"/>
      <c r="E93" s="392"/>
      <c r="F93" s="392"/>
      <c r="G93" s="392"/>
      <c r="H93" s="392"/>
      <c r="I93" s="392"/>
      <c r="J93" s="392"/>
      <c r="K93" s="392"/>
      <c r="L93" s="392"/>
      <c r="M93" s="392"/>
      <c r="N93" s="389"/>
      <c r="O93" s="806" t="s">
        <v>947</v>
      </c>
      <c r="P93" s="807"/>
      <c r="Q93" s="369"/>
      <c r="R93" s="369"/>
      <c r="S93" s="369"/>
      <c r="T93" s="369"/>
      <c r="U93" s="369"/>
    </row>
    <row r="94" spans="1:16" s="64" customFormat="1" ht="16.5" thickTop="1">
      <c r="A94" s="836" t="s">
        <v>949</v>
      </c>
      <c r="B94" s="63"/>
      <c r="C94" s="108"/>
      <c r="D94" s="798"/>
      <c r="E94" s="799"/>
      <c r="F94" s="799"/>
      <c r="G94" s="799"/>
      <c r="H94" s="799"/>
      <c r="I94" s="799"/>
      <c r="J94" s="799"/>
      <c r="K94" s="799"/>
      <c r="L94" s="799"/>
      <c r="M94" s="799"/>
      <c r="N94" s="799"/>
      <c r="O94" s="799"/>
      <c r="P94" s="799"/>
    </row>
    <row r="95" spans="1:16" s="64" customFormat="1" ht="15">
      <c r="A95" s="820"/>
      <c r="B95" s="65"/>
      <c r="C95" s="108"/>
      <c r="D95" s="78"/>
      <c r="E95" s="78"/>
      <c r="F95" s="78"/>
      <c r="G95" s="78"/>
      <c r="H95" s="78"/>
      <c r="I95" s="78"/>
      <c r="J95" s="78"/>
      <c r="K95" s="78"/>
      <c r="L95" s="78"/>
      <c r="M95" s="78"/>
      <c r="N95" s="68"/>
      <c r="O95" s="70"/>
      <c r="P95" s="70"/>
    </row>
    <row r="96" spans="1:16" s="64" customFormat="1" ht="15.75">
      <c r="A96" s="820"/>
      <c r="B96" s="63" t="s">
        <v>43</v>
      </c>
      <c r="C96" s="108"/>
      <c r="D96" s="78"/>
      <c r="E96" s="78"/>
      <c r="F96" s="78"/>
      <c r="G96" s="78"/>
      <c r="H96" s="78"/>
      <c r="I96" s="78"/>
      <c r="J96" s="78"/>
      <c r="K96" s="78"/>
      <c r="L96" s="78"/>
      <c r="M96" s="78"/>
      <c r="N96" s="68"/>
      <c r="O96" s="70"/>
      <c r="P96" s="70"/>
    </row>
    <row r="97" spans="1:21" s="64" customFormat="1" ht="15.75" thickBot="1">
      <c r="A97" s="820"/>
      <c r="B97" s="65"/>
      <c r="C97" s="108"/>
      <c r="D97" s="78"/>
      <c r="E97" s="78"/>
      <c r="F97" s="78"/>
      <c r="G97" s="78"/>
      <c r="H97" s="78"/>
      <c r="I97" s="78"/>
      <c r="J97" s="78"/>
      <c r="K97" s="78"/>
      <c r="L97" s="78"/>
      <c r="M97" s="78"/>
      <c r="N97" s="68"/>
      <c r="O97" s="370">
        <f>U98</f>
      </c>
      <c r="P97" s="84"/>
      <c r="Q97" s="369"/>
      <c r="R97" s="369"/>
      <c r="S97" s="369"/>
      <c r="T97" s="369"/>
      <c r="U97" s="369"/>
    </row>
    <row r="98" spans="1:21" s="64" customFormat="1" ht="23.25">
      <c r="A98" s="820"/>
      <c r="B98" s="65" t="s">
        <v>44</v>
      </c>
      <c r="C98" s="108"/>
      <c r="D98" s="93">
        <f>'CTB Form'!D42</f>
        <v>0</v>
      </c>
      <c r="E98" s="93">
        <f>'CTB Form'!E42</f>
        <v>7</v>
      </c>
      <c r="F98" s="93">
        <f>'CTB Form'!F42</f>
        <v>80</v>
      </c>
      <c r="G98" s="93">
        <f>'CTB Form'!G42</f>
        <v>254</v>
      </c>
      <c r="H98" s="93">
        <f>'CTB Form'!H42</f>
        <v>256</v>
      </c>
      <c r="I98" s="93">
        <f>'CTB Form'!I42</f>
        <v>163</v>
      </c>
      <c r="J98" s="93">
        <f>'CTB Form'!J42</f>
        <v>55</v>
      </c>
      <c r="K98" s="93">
        <f>'CTB Form'!K42</f>
        <v>22</v>
      </c>
      <c r="L98" s="93">
        <f>'CTB Form'!L42</f>
        <v>2</v>
      </c>
      <c r="M98" s="93">
        <f>'CTB Form'!M42</f>
        <v>839</v>
      </c>
      <c r="N98" s="68"/>
      <c r="O98" s="800"/>
      <c r="P98" s="801"/>
      <c r="Q98" s="371">
        <f>IF(AND((SUM(E102:M102)&lt;&gt;0),O98=""),1,0)</f>
        <v>0</v>
      </c>
      <c r="R98" s="371">
        <f>IF(AND((SUM(E102:M102)=0),O98=""),0,1)</f>
        <v>0</v>
      </c>
      <c r="S98" s="371">
        <f>IF(AND((SUM(E102:M102)=0),O98&lt;&gt;""),2,0)</f>
        <v>0</v>
      </c>
      <c r="T98" s="372">
        <f>SUM(Q98:S98)</f>
        <v>0</v>
      </c>
      <c r="U98" s="371">
        <f>IF(ISNUMBER(T98)=FALSE,"please delete invalid data entry on form",IF(T98=0,"",IF(T98=1,"Reason for differences",IF(T98=3,"No reason required, please DELETE entry below",IF(T98=2,"Please enter reason for differences in appropriate cell(s) below","")))))</f>
      </c>
    </row>
    <row r="99" spans="1:21" s="64" customFormat="1" ht="15">
      <c r="A99" s="820"/>
      <c r="B99" s="65" t="s">
        <v>104</v>
      </c>
      <c r="C99" s="108"/>
      <c r="D99" s="87">
        <f>VLOOKUP('CTB Form'!$G$5,Data!$A$9:$DK$364,54,FALSE)</f>
        <v>0</v>
      </c>
      <c r="E99" s="87">
        <f>VLOOKUP('CTB Form'!$G$5,Data!$A$9:$DK$364,55,FALSE)</f>
        <v>8</v>
      </c>
      <c r="F99" s="87">
        <f>VLOOKUP('CTB Form'!$G$5,Data!$A$9:$DK$364,56,FALSE)</f>
        <v>77</v>
      </c>
      <c r="G99" s="87">
        <f>VLOOKUP('CTB Form'!$G$5,Data!$A$9:$DK$364,57,FALSE)</f>
        <v>257</v>
      </c>
      <c r="H99" s="87">
        <f>VLOOKUP('CTB Form'!$G$5,Data!$A$9:$DK$364,58,FALSE)</f>
        <v>257</v>
      </c>
      <c r="I99" s="87">
        <f>VLOOKUP('CTB Form'!$G$5,Data!$A$9:$DK$364,59,FALSE)</f>
        <v>168</v>
      </c>
      <c r="J99" s="87">
        <f>VLOOKUP('CTB Form'!$G$5,Data!$A$9:$DK$364,60,FALSE)</f>
        <v>57</v>
      </c>
      <c r="K99" s="87">
        <f>VLOOKUP('CTB Form'!$G$5,Data!$A$9:$DK$364,61,FALSE)</f>
        <v>26</v>
      </c>
      <c r="L99" s="87">
        <f>VLOOKUP('CTB Form'!$G$5,Data!$A$9:$DK$364,62,FALSE)</f>
        <v>3</v>
      </c>
      <c r="M99" s="87">
        <f>VLOOKUP('CTB Form'!$G$5,Data!$A$9:$DK$364,63,FALSE)</f>
        <v>853</v>
      </c>
      <c r="N99" s="68"/>
      <c r="O99" s="802"/>
      <c r="P99" s="803"/>
      <c r="Q99" s="369"/>
      <c r="R99" s="369"/>
      <c r="S99" s="369"/>
      <c r="T99" s="369"/>
      <c r="U99" s="369"/>
    </row>
    <row r="100" spans="1:21" s="64" customFormat="1" ht="15">
      <c r="A100" s="820"/>
      <c r="B100" s="94"/>
      <c r="C100" s="102" t="s">
        <v>928</v>
      </c>
      <c r="D100" s="93" t="str">
        <f>IF(D98+D99=0," ",IF(E99=0," ",ABS(D98-D99)/D99*100))</f>
        <v> </v>
      </c>
      <c r="E100" s="93">
        <f aca="true" t="shared" si="10" ref="E100:M100">IF(E98+E99=0," ",IF(F99=0," ",ABS(E98-E99)/E99*100))</f>
        <v>12.5</v>
      </c>
      <c r="F100" s="93">
        <f t="shared" si="10"/>
        <v>3.896103896103896</v>
      </c>
      <c r="G100" s="93">
        <f t="shared" si="10"/>
        <v>1.1673151750972763</v>
      </c>
      <c r="H100" s="93">
        <f t="shared" si="10"/>
        <v>0.38910505836575876</v>
      </c>
      <c r="I100" s="93">
        <f t="shared" si="10"/>
        <v>2.976190476190476</v>
      </c>
      <c r="J100" s="93">
        <f t="shared" si="10"/>
        <v>3.508771929824561</v>
      </c>
      <c r="K100" s="93">
        <f t="shared" si="10"/>
        <v>15.384615384615385</v>
      </c>
      <c r="L100" s="93">
        <f t="shared" si="10"/>
        <v>33.33333333333333</v>
      </c>
      <c r="M100" s="93" t="str">
        <f t="shared" si="10"/>
        <v> </v>
      </c>
      <c r="N100" s="68"/>
      <c r="O100" s="802"/>
      <c r="P100" s="803"/>
      <c r="Q100" s="369"/>
      <c r="R100" s="369"/>
      <c r="S100" s="369"/>
      <c r="T100" s="369"/>
      <c r="U100" s="369"/>
    </row>
    <row r="101" spans="1:21" s="64" customFormat="1" ht="15.75" thickBot="1">
      <c r="A101" s="820"/>
      <c r="B101" s="94"/>
      <c r="C101" s="102"/>
      <c r="D101" s="95"/>
      <c r="E101" s="95"/>
      <c r="F101" s="95"/>
      <c r="G101" s="95"/>
      <c r="H101" s="95"/>
      <c r="I101" s="95"/>
      <c r="J101" s="95"/>
      <c r="K101" s="95"/>
      <c r="L101" s="95"/>
      <c r="M101" s="95"/>
      <c r="N101" s="68"/>
      <c r="O101" s="802"/>
      <c r="P101" s="803"/>
      <c r="Q101" s="378"/>
      <c r="R101" s="369"/>
      <c r="S101" s="369"/>
      <c r="T101" s="369"/>
      <c r="U101" s="369"/>
    </row>
    <row r="102" spans="1:21" s="64" customFormat="1" ht="30" customHeight="1" thickBot="1">
      <c r="A102" s="820"/>
      <c r="B102" s="80" t="str">
        <f>IF(SUM(E102:M102)=0,"Go to Test 11","Please explain the reason for the change in the yellow box on the right")</f>
        <v>Go to Test 11</v>
      </c>
      <c r="C102" s="111"/>
      <c r="D102" s="74" t="str">
        <f>IF(AND(D99&gt;20,D100&gt;+Parameters!B14),D100," ")</f>
        <v> </v>
      </c>
      <c r="E102" s="74" t="str">
        <f>IF(AND(E99&gt;20,E100&gt;+Parameters!C14),E100," ")</f>
        <v> </v>
      </c>
      <c r="F102" s="74" t="str">
        <f>IF(AND(F99&gt;20,F100&gt;+Parameters!D14),F100," ")</f>
        <v> </v>
      </c>
      <c r="G102" s="74" t="str">
        <f>IF(AND(G99&gt;20,G100&gt;+Parameters!E14),G100," ")</f>
        <v> </v>
      </c>
      <c r="H102" s="74" t="str">
        <f>IF(AND(H99&gt;20,H100&gt;+Parameters!F14),H100," ")</f>
        <v> </v>
      </c>
      <c r="I102" s="74" t="str">
        <f>IF(AND(I99&gt;20,I100&gt;+Parameters!G14),I100," ")</f>
        <v> </v>
      </c>
      <c r="J102" s="74" t="str">
        <f>IF(AND(J99&gt;20,J100&gt;+Parameters!H14),J100," ")</f>
        <v> </v>
      </c>
      <c r="K102" s="74" t="str">
        <f>IF(AND(K99&gt;20,K100&gt;+Parameters!I14),K100," ")</f>
        <v> </v>
      </c>
      <c r="L102" s="74" t="str">
        <f>IF(AND(L99&gt;20,L100&gt;+Parameters!J14),L100," ")</f>
        <v> </v>
      </c>
      <c r="M102" s="74" t="str">
        <f>IF(AND(M99&gt;20,M100&gt;+Parameters!K14),M100," ")</f>
        <v> </v>
      </c>
      <c r="N102" s="68"/>
      <c r="O102" s="804"/>
      <c r="P102" s="805"/>
      <c r="Q102" s="369"/>
      <c r="R102" s="369"/>
      <c r="S102" s="369"/>
      <c r="T102" s="369"/>
      <c r="U102" s="369"/>
    </row>
    <row r="103" spans="1:21" s="64" customFormat="1" ht="15">
      <c r="A103" s="820"/>
      <c r="B103" s="65"/>
      <c r="C103" s="108"/>
      <c r="D103" s="78"/>
      <c r="E103" s="78"/>
      <c r="F103" s="78"/>
      <c r="G103" s="78"/>
      <c r="H103" s="78"/>
      <c r="I103" s="78"/>
      <c r="J103" s="78"/>
      <c r="K103" s="78"/>
      <c r="L103" s="78"/>
      <c r="M103" s="78"/>
      <c r="N103" s="68"/>
      <c r="O103" s="808" t="s">
        <v>947</v>
      </c>
      <c r="P103" s="809"/>
      <c r="Q103" s="369"/>
      <c r="R103" s="369"/>
      <c r="S103" s="369"/>
      <c r="T103" s="369"/>
      <c r="U103" s="369"/>
    </row>
    <row r="104" spans="1:21" s="64" customFormat="1" ht="15.75">
      <c r="A104" s="820"/>
      <c r="B104" s="91" t="s">
        <v>45</v>
      </c>
      <c r="C104" s="102"/>
      <c r="D104" s="95"/>
      <c r="E104" s="95"/>
      <c r="F104" s="95"/>
      <c r="G104" s="95"/>
      <c r="H104" s="95"/>
      <c r="I104" s="95"/>
      <c r="J104" s="95"/>
      <c r="K104" s="95"/>
      <c r="L104" s="95"/>
      <c r="M104" s="95"/>
      <c r="N104" s="84"/>
      <c r="O104" s="96"/>
      <c r="P104" s="379"/>
      <c r="Q104" s="369"/>
      <c r="R104" s="369"/>
      <c r="S104" s="369"/>
      <c r="T104" s="369"/>
      <c r="U104" s="369"/>
    </row>
    <row r="105" spans="1:21" s="64" customFormat="1" ht="15.75" thickBot="1">
      <c r="A105" s="820"/>
      <c r="B105" s="94"/>
      <c r="C105" s="102"/>
      <c r="D105" s="95"/>
      <c r="E105" s="95"/>
      <c r="F105" s="95"/>
      <c r="G105" s="95"/>
      <c r="H105" s="95"/>
      <c r="I105" s="95"/>
      <c r="J105" s="95"/>
      <c r="K105" s="95"/>
      <c r="L105" s="95"/>
      <c r="M105" s="95"/>
      <c r="N105" s="84"/>
      <c r="O105" s="370">
        <f>U106</f>
      </c>
      <c r="P105" s="84"/>
      <c r="Q105" s="369"/>
      <c r="R105" s="369"/>
      <c r="S105" s="369"/>
      <c r="T105" s="369"/>
      <c r="U105" s="369"/>
    </row>
    <row r="106" spans="1:21" s="64" customFormat="1" ht="23.25">
      <c r="A106" s="820"/>
      <c r="B106" s="65" t="s">
        <v>44</v>
      </c>
      <c r="C106" s="108"/>
      <c r="D106" s="93">
        <f>'CTB Form'!D42</f>
        <v>0</v>
      </c>
      <c r="E106" s="93">
        <f>'CTB Form'!E42</f>
        <v>7</v>
      </c>
      <c r="F106" s="93">
        <f>'CTB Form'!F42</f>
        <v>80</v>
      </c>
      <c r="G106" s="93">
        <f>'CTB Form'!G42</f>
        <v>254</v>
      </c>
      <c r="H106" s="93">
        <f>'CTB Form'!H42</f>
        <v>256</v>
      </c>
      <c r="I106" s="93">
        <f>'CTB Form'!I42</f>
        <v>163</v>
      </c>
      <c r="J106" s="93">
        <f>'CTB Form'!J42</f>
        <v>55</v>
      </c>
      <c r="K106" s="93">
        <f>'CTB Form'!K42</f>
        <v>22</v>
      </c>
      <c r="L106" s="93">
        <f>'CTB Form'!L42</f>
        <v>2</v>
      </c>
      <c r="M106" s="93">
        <f>'CTB Form'!M42</f>
        <v>839</v>
      </c>
      <c r="N106" s="84"/>
      <c r="O106" s="800"/>
      <c r="P106" s="801"/>
      <c r="Q106" s="371">
        <f>IF(AND((SUM(E110:M110)&lt;&gt;0),O106=""),1,0)</f>
        <v>0</v>
      </c>
      <c r="R106" s="371">
        <f>IF(AND((SUM(E110:M110)=0),O106=""),0,1)</f>
        <v>0</v>
      </c>
      <c r="S106" s="371">
        <f>IF(AND((SUM(E110:M110)=0),O106&lt;&gt;""),2,0)</f>
        <v>0</v>
      </c>
      <c r="T106" s="372">
        <f>SUM(Q106:S106)</f>
        <v>0</v>
      </c>
      <c r="U106" s="371">
        <f>IF(ISNUMBER(T106)=FALSE,"please delete invalid data entry on form",IF(T106=0,"",IF(T106=1,"Reason for differences",IF(T106=3,"No reason required, please DELETE entry below",IF(T106=2,"Please enter reason for differences in appropriate cell(s) below","")))))</f>
      </c>
    </row>
    <row r="107" spans="1:21" s="64" customFormat="1" ht="15">
      <c r="A107" s="820"/>
      <c r="B107" s="65" t="s">
        <v>104</v>
      </c>
      <c r="C107" s="108"/>
      <c r="D107" s="87">
        <f>VLOOKUP('CTB Form'!$G$5,Data!$A$9:$DK$364,54,FALSE)</f>
        <v>0</v>
      </c>
      <c r="E107" s="87">
        <f>VLOOKUP('CTB Form'!$G$5,Data!$A$9:$DK$364,55,FALSE)</f>
        <v>8</v>
      </c>
      <c r="F107" s="87">
        <f>VLOOKUP('CTB Form'!$G$5,Data!$A$9:$DK$364,56,FALSE)</f>
        <v>77</v>
      </c>
      <c r="G107" s="87">
        <f>VLOOKUP('CTB Form'!$G$5,Data!$A$9:$DK$364,57,FALSE)</f>
        <v>257</v>
      </c>
      <c r="H107" s="87">
        <f>VLOOKUP('CTB Form'!$G$5,Data!$A$9:$DK$364,58,FALSE)</f>
        <v>257</v>
      </c>
      <c r="I107" s="87">
        <f>VLOOKUP('CTB Form'!$G$5,Data!$A$9:$DK$364,59,FALSE)</f>
        <v>168</v>
      </c>
      <c r="J107" s="87">
        <f>VLOOKUP('CTB Form'!$G$5,Data!$A$9:$DK$364,60,FALSE)</f>
        <v>57</v>
      </c>
      <c r="K107" s="87">
        <f>VLOOKUP('CTB Form'!$G$5,Data!$A$9:$DK$364,61,FALSE)</f>
        <v>26</v>
      </c>
      <c r="L107" s="87">
        <f>VLOOKUP('CTB Form'!$G$5,Data!$A$9:$DK$364,62,FALSE)</f>
        <v>3</v>
      </c>
      <c r="M107" s="87">
        <f>VLOOKUP('CTB Form'!$G$5,Data!$A$9:$DK$364,63,FALSE)</f>
        <v>853</v>
      </c>
      <c r="N107" s="84"/>
      <c r="O107" s="802"/>
      <c r="P107" s="803"/>
      <c r="Q107" s="369"/>
      <c r="R107" s="369"/>
      <c r="S107" s="369"/>
      <c r="T107" s="369"/>
      <c r="U107" s="369"/>
    </row>
    <row r="108" spans="1:21" s="64" customFormat="1" ht="15">
      <c r="A108" s="820"/>
      <c r="B108" s="94"/>
      <c r="C108" s="102" t="s">
        <v>894</v>
      </c>
      <c r="D108" s="98" t="str">
        <f>IF(D106+D107=0," ",IF(E107=0," ",ABS(D106-D107)))</f>
        <v> </v>
      </c>
      <c r="E108" s="98">
        <f aca="true" t="shared" si="11" ref="E108:M108">IF(E106+E107=0," ",IF(F107=0," ",ABS(E106-E107)))</f>
        <v>1</v>
      </c>
      <c r="F108" s="98">
        <f t="shared" si="11"/>
        <v>3</v>
      </c>
      <c r="G108" s="98">
        <f t="shared" si="11"/>
        <v>3</v>
      </c>
      <c r="H108" s="98">
        <f t="shared" si="11"/>
        <v>1</v>
      </c>
      <c r="I108" s="98">
        <f t="shared" si="11"/>
        <v>5</v>
      </c>
      <c r="J108" s="98">
        <f t="shared" si="11"/>
        <v>2</v>
      </c>
      <c r="K108" s="98">
        <f t="shared" si="11"/>
        <v>4</v>
      </c>
      <c r="L108" s="98">
        <f t="shared" si="11"/>
        <v>1</v>
      </c>
      <c r="M108" s="98" t="str">
        <f t="shared" si="11"/>
        <v> </v>
      </c>
      <c r="N108" s="84"/>
      <c r="O108" s="802"/>
      <c r="P108" s="803"/>
      <c r="Q108" s="369"/>
      <c r="R108" s="369"/>
      <c r="S108" s="369"/>
      <c r="T108" s="369"/>
      <c r="U108" s="369"/>
    </row>
    <row r="109" spans="1:21" s="64" customFormat="1" ht="15.75" thickBot="1">
      <c r="A109" s="820"/>
      <c r="B109" s="94"/>
      <c r="C109" s="102"/>
      <c r="D109" s="95"/>
      <c r="E109" s="95"/>
      <c r="F109" s="4"/>
      <c r="G109" s="95"/>
      <c r="H109" s="95"/>
      <c r="I109" s="95"/>
      <c r="J109" s="95"/>
      <c r="K109" s="95"/>
      <c r="L109" s="95"/>
      <c r="M109" s="95"/>
      <c r="N109" s="84"/>
      <c r="O109" s="802"/>
      <c r="P109" s="803"/>
      <c r="Q109" s="378"/>
      <c r="R109" s="369"/>
      <c r="S109" s="369"/>
      <c r="T109" s="369"/>
      <c r="U109" s="369"/>
    </row>
    <row r="110" spans="1:21" s="64" customFormat="1" ht="30" customHeight="1" thickBot="1">
      <c r="A110" s="820"/>
      <c r="B110" s="80" t="str">
        <f>IF(SUM(E110:M110)=0,"Go to Test 12","Please explain the reason for the change in the yellow box on the right")</f>
        <v>Go to Test 12</v>
      </c>
      <c r="C110" s="110"/>
      <c r="D110" s="86" t="str">
        <f>IF(AND(D107&lt;=20,D108&gt;+Parameters!B15),D108,"")</f>
        <v> </v>
      </c>
      <c r="E110" s="86">
        <f>IF(AND(E107&lt;=20,E108&gt;+Parameters!C15),E108,"")</f>
      </c>
      <c r="F110" s="86">
        <f>IF(AND(F107&lt;=20,F108&gt;+Parameters!D15),F108,"")</f>
      </c>
      <c r="G110" s="86">
        <f>IF(AND(G107&lt;=20,G108&gt;+Parameters!E15),G108,"")</f>
      </c>
      <c r="H110" s="86">
        <f>IF(AND(H107&lt;=20,H108&gt;+Parameters!F15),H108,"")</f>
      </c>
      <c r="I110" s="86">
        <f>IF(AND(I107&lt;=20,I108&gt;+Parameters!G15),I108,"")</f>
      </c>
      <c r="J110" s="86">
        <f>IF(AND(J107&lt;=20,J108&gt;+Parameters!H15),J108,"")</f>
      </c>
      <c r="K110" s="86">
        <f>IF(AND(K107&lt;=20,K108&gt;+Parameters!I15),K108,"")</f>
      </c>
      <c r="L110" s="86">
        <f>IF(AND(L107&lt;=20,L108&gt;+Parameters!J15),L108,"")</f>
      </c>
      <c r="M110" s="86">
        <f>IF(AND(M107&lt;=20,M108&gt;+Parameters!K15),M108,"")</f>
      </c>
      <c r="N110" s="84"/>
      <c r="O110" s="804"/>
      <c r="P110" s="805"/>
      <c r="Q110" s="369"/>
      <c r="R110" s="369"/>
      <c r="S110" s="369"/>
      <c r="T110" s="369"/>
      <c r="U110" s="369"/>
    </row>
    <row r="111" spans="1:21" s="64" customFormat="1" ht="15.75" customHeight="1" thickBot="1">
      <c r="A111" s="826"/>
      <c r="B111" s="386"/>
      <c r="C111" s="387"/>
      <c r="D111" s="388"/>
      <c r="E111" s="388"/>
      <c r="F111" s="388"/>
      <c r="G111" s="388"/>
      <c r="H111" s="388"/>
      <c r="I111" s="388"/>
      <c r="J111" s="388"/>
      <c r="K111" s="388"/>
      <c r="L111" s="388"/>
      <c r="M111" s="388"/>
      <c r="N111" s="389"/>
      <c r="O111" s="806" t="s">
        <v>947</v>
      </c>
      <c r="P111" s="807"/>
      <c r="Q111" s="369"/>
      <c r="R111" s="369"/>
      <c r="S111" s="369"/>
      <c r="T111" s="369"/>
      <c r="U111" s="369"/>
    </row>
    <row r="112" spans="1:16" s="64" customFormat="1" ht="16.5" thickTop="1">
      <c r="A112" s="830" t="s">
        <v>950</v>
      </c>
      <c r="B112" s="393"/>
      <c r="C112" s="394"/>
      <c r="D112" s="798"/>
      <c r="E112" s="799"/>
      <c r="F112" s="799"/>
      <c r="G112" s="799"/>
      <c r="H112" s="799"/>
      <c r="I112" s="799"/>
      <c r="J112" s="799"/>
      <c r="K112" s="799"/>
      <c r="L112" s="799"/>
      <c r="M112" s="799"/>
      <c r="N112" s="799"/>
      <c r="O112" s="799"/>
      <c r="P112" s="799"/>
    </row>
    <row r="113" spans="1:16" s="64" customFormat="1" ht="15">
      <c r="A113" s="749"/>
      <c r="B113" s="65"/>
      <c r="C113" s="108"/>
      <c r="D113" s="78"/>
      <c r="E113" s="78"/>
      <c r="F113" s="78"/>
      <c r="G113" s="78"/>
      <c r="H113" s="78"/>
      <c r="I113" s="78"/>
      <c r="J113" s="78"/>
      <c r="K113" s="78"/>
      <c r="L113" s="78"/>
      <c r="M113" s="78"/>
      <c r="N113" s="68"/>
      <c r="O113" s="70"/>
      <c r="P113" s="70"/>
    </row>
    <row r="114" spans="1:21" s="64" customFormat="1" ht="15.75">
      <c r="A114" s="749"/>
      <c r="B114" s="63" t="s">
        <v>46</v>
      </c>
      <c r="C114" s="108"/>
      <c r="D114" s="78"/>
      <c r="E114" s="78"/>
      <c r="F114" s="78"/>
      <c r="G114" s="78"/>
      <c r="H114" s="78"/>
      <c r="I114" s="78"/>
      <c r="J114" s="78"/>
      <c r="K114" s="78"/>
      <c r="L114" s="78"/>
      <c r="M114" s="78"/>
      <c r="N114" s="68"/>
      <c r="O114" s="68"/>
      <c r="P114" s="68"/>
      <c r="Q114" s="369"/>
      <c r="R114" s="369"/>
      <c r="S114" s="369"/>
      <c r="T114" s="369"/>
      <c r="U114" s="369"/>
    </row>
    <row r="115" spans="1:21" s="64" customFormat="1" ht="15.75" thickBot="1">
      <c r="A115" s="749"/>
      <c r="B115" s="65"/>
      <c r="C115" s="108"/>
      <c r="D115" s="78"/>
      <c r="E115" s="78"/>
      <c r="F115" s="78"/>
      <c r="G115" s="78"/>
      <c r="H115" s="78"/>
      <c r="I115" s="78"/>
      <c r="J115" s="78"/>
      <c r="K115" s="78"/>
      <c r="L115" s="78"/>
      <c r="M115" s="78"/>
      <c r="N115" s="68"/>
      <c r="O115" s="370">
        <f>U116</f>
      </c>
      <c r="P115" s="84"/>
      <c r="Q115" s="369"/>
      <c r="R115" s="369"/>
      <c r="S115" s="369"/>
      <c r="T115" s="369"/>
      <c r="U115" s="369"/>
    </row>
    <row r="116" spans="1:21" s="64" customFormat="1" ht="23.25">
      <c r="A116" s="749"/>
      <c r="B116" s="65" t="s">
        <v>47</v>
      </c>
      <c r="C116" s="108"/>
      <c r="D116" s="93">
        <f>'CTB Form'!D44</f>
        <v>0</v>
      </c>
      <c r="E116" s="93">
        <f>'CTB Form'!E44</f>
        <v>0</v>
      </c>
      <c r="F116" s="93">
        <f>'CTB Form'!F44</f>
        <v>11</v>
      </c>
      <c r="G116" s="93">
        <f>'CTB Form'!G44</f>
        <v>18</v>
      </c>
      <c r="H116" s="93">
        <f>'CTB Form'!H44</f>
        <v>32</v>
      </c>
      <c r="I116" s="93">
        <f>'CTB Form'!I44</f>
        <v>28</v>
      </c>
      <c r="J116" s="93">
        <f>'CTB Form'!J44</f>
        <v>38</v>
      </c>
      <c r="K116" s="93">
        <f>'CTB Form'!K44</f>
        <v>35</v>
      </c>
      <c r="L116" s="93">
        <f>'CTB Form'!L44</f>
        <v>15</v>
      </c>
      <c r="M116" s="93">
        <f>'CTB Form'!M44</f>
        <v>177</v>
      </c>
      <c r="N116" s="68"/>
      <c r="O116" s="800"/>
      <c r="P116" s="801"/>
      <c r="Q116" s="371">
        <f>IF(AND((SUM(E120:M120)&lt;&gt;0),O116=""),1,0)</f>
        <v>0</v>
      </c>
      <c r="R116" s="371">
        <f>IF(AND((SUM(E120:M120)=0),O116=""),0,1)</f>
        <v>0</v>
      </c>
      <c r="S116" s="371">
        <f>IF(AND((SUM(E120:M120)=0),O116&lt;&gt;""),2,0)</f>
        <v>0</v>
      </c>
      <c r="T116" s="372">
        <f>SUM(Q116:S116)</f>
        <v>0</v>
      </c>
      <c r="U116" s="371">
        <f>IF(ISNUMBER(T116)=FALSE,"please delete invalid data entry on form",IF(T116=0,"",IF(T116=1,"Reason for differences",IF(T116=3,"No reason required, please DELETE entry below",IF(T116=2,"Please enter reason for differences in appropriate cell(s) below","")))))</f>
      </c>
    </row>
    <row r="117" spans="1:21" s="64" customFormat="1" ht="15">
      <c r="A117" s="749"/>
      <c r="B117" s="65" t="s">
        <v>105</v>
      </c>
      <c r="C117" s="108"/>
      <c r="D117" s="87">
        <f>VLOOKUP('CTB Form'!$G$5,Data!$A$9:$DK$364,64,FALSE)</f>
        <v>0</v>
      </c>
      <c r="E117" s="87">
        <f>VLOOKUP('CTB Form'!$G$5,Data!$A$9:$DK$364,65,FALSE)</f>
        <v>0</v>
      </c>
      <c r="F117" s="87">
        <f>VLOOKUP('CTB Form'!$G$5,Data!$A$9:$DK$364,66,FALSE)</f>
        <v>11</v>
      </c>
      <c r="G117" s="87">
        <f>VLOOKUP('CTB Form'!$G$5,Data!$A$9:$DK$364,67,FALSE)</f>
        <v>21</v>
      </c>
      <c r="H117" s="87">
        <f>VLOOKUP('CTB Form'!$G$5,Data!$A$9:$DK$364,68,FALSE)</f>
        <v>31</v>
      </c>
      <c r="I117" s="87">
        <f>VLOOKUP('CTB Form'!$G$5,Data!$A$9:$DK$364,69,FALSE)</f>
        <v>30</v>
      </c>
      <c r="J117" s="87">
        <f>VLOOKUP('CTB Form'!$G$5,Data!$A$9:$DK$364,70,FALSE)</f>
        <v>37</v>
      </c>
      <c r="K117" s="87">
        <f>VLOOKUP('CTB Form'!$G$5,Data!$A$9:$DK$364,71,FALSE)</f>
        <v>33</v>
      </c>
      <c r="L117" s="87">
        <f>VLOOKUP('CTB Form'!$G$5,Data!$A$9:$DK$364,72,FALSE)</f>
        <v>16</v>
      </c>
      <c r="M117" s="87">
        <f>VLOOKUP('CTB Form'!$G$5,Data!$A$9:$DK$364,73,FALSE)</f>
        <v>179</v>
      </c>
      <c r="N117" s="68"/>
      <c r="O117" s="802"/>
      <c r="P117" s="803"/>
      <c r="Q117" s="369"/>
      <c r="R117" s="369"/>
      <c r="S117" s="369"/>
      <c r="T117" s="369"/>
      <c r="U117" s="369"/>
    </row>
    <row r="118" spans="1:21" s="64" customFormat="1" ht="15">
      <c r="A118" s="749"/>
      <c r="B118" s="94"/>
      <c r="C118" s="102" t="s">
        <v>928</v>
      </c>
      <c r="D118" s="93" t="str">
        <f>IF(D116+D117=0," ",IF(E117=0," ",ABS(D116-D117)/D117*100))</f>
        <v> </v>
      </c>
      <c r="E118" s="93" t="str">
        <f aca="true" t="shared" si="12" ref="E118:M118">IF(E116+E117=0," ",IF(F117=0," ",ABS(E116-E117)/E117*100))</f>
        <v> </v>
      </c>
      <c r="F118" s="93">
        <f t="shared" si="12"/>
        <v>0</v>
      </c>
      <c r="G118" s="93">
        <f t="shared" si="12"/>
        <v>14.285714285714285</v>
      </c>
      <c r="H118" s="93">
        <f t="shared" si="12"/>
        <v>3.225806451612903</v>
      </c>
      <c r="I118" s="93">
        <f t="shared" si="12"/>
        <v>6.666666666666667</v>
      </c>
      <c r="J118" s="93">
        <f t="shared" si="12"/>
        <v>2.7027027027027026</v>
      </c>
      <c r="K118" s="93">
        <f t="shared" si="12"/>
        <v>6.0606060606060606</v>
      </c>
      <c r="L118" s="93">
        <f t="shared" si="12"/>
        <v>6.25</v>
      </c>
      <c r="M118" s="93" t="str">
        <f t="shared" si="12"/>
        <v> </v>
      </c>
      <c r="N118" s="68"/>
      <c r="O118" s="802"/>
      <c r="P118" s="803"/>
      <c r="Q118" s="369"/>
      <c r="R118" s="369"/>
      <c r="S118" s="369"/>
      <c r="T118" s="369"/>
      <c r="U118" s="369"/>
    </row>
    <row r="119" spans="1:21" s="64" customFormat="1" ht="15.75" thickBot="1">
      <c r="A119" s="749"/>
      <c r="B119" s="94"/>
      <c r="C119" s="102"/>
      <c r="D119" s="95"/>
      <c r="E119" s="95"/>
      <c r="F119" s="95"/>
      <c r="G119" s="95"/>
      <c r="H119" s="95"/>
      <c r="I119" s="95"/>
      <c r="J119" s="95"/>
      <c r="K119" s="95"/>
      <c r="L119" s="95"/>
      <c r="M119" s="95"/>
      <c r="N119" s="68"/>
      <c r="O119" s="802"/>
      <c r="P119" s="803"/>
      <c r="Q119" s="378"/>
      <c r="R119" s="369"/>
      <c r="S119" s="369"/>
      <c r="T119" s="369"/>
      <c r="U119" s="369"/>
    </row>
    <row r="120" spans="1:21" s="64" customFormat="1" ht="30" customHeight="1" thickBot="1">
      <c r="A120" s="749"/>
      <c r="B120" s="80" t="str">
        <f>IF(SUM(E120:M120)=0,"Go to Test 13","Please explain the reason for the change in the yellow box on the right")</f>
        <v>Go to Test 13</v>
      </c>
      <c r="C120" s="111"/>
      <c r="D120" s="74">
        <f>IF(AND(D117&gt;20,D118&gt;+Parameters!B16),D118,"")</f>
      </c>
      <c r="E120" s="74">
        <f>IF(AND(E117&gt;20,E118&gt;+Parameters!C16),E118,"")</f>
      </c>
      <c r="F120" s="74">
        <f>IF(AND(F117&gt;20,F118&gt;+Parameters!D16),F118,"")</f>
      </c>
      <c r="G120" s="74">
        <f>IF(AND(G117&gt;20,G118&gt;+Parameters!E16),G118,"")</f>
      </c>
      <c r="H120" s="74">
        <f>IF(AND(H117&gt;20,H118&gt;+Parameters!F16),H118,"")</f>
      </c>
      <c r="I120" s="74">
        <f>IF(AND(I117&gt;20,I118&gt;+Parameters!G16),I118,"")</f>
      </c>
      <c r="J120" s="74">
        <f>IF(AND(J117&gt;20,J118&gt;+Parameters!H16),J118,"")</f>
      </c>
      <c r="K120" s="74">
        <f>IF(AND(K117&gt;20,K118&gt;+Parameters!I16),K118,"")</f>
      </c>
      <c r="L120" s="74">
        <f>IF(AND(L117&gt;20,L118&gt;+Parameters!J16),L118,"")</f>
      </c>
      <c r="M120" s="74" t="str">
        <f>IF(AND(M117&gt;20,M118&gt;+Parameters!K16),M118,"")</f>
        <v> </v>
      </c>
      <c r="N120" s="68"/>
      <c r="O120" s="804"/>
      <c r="P120" s="805"/>
      <c r="Q120" s="369"/>
      <c r="R120" s="369"/>
      <c r="S120" s="369"/>
      <c r="T120" s="369"/>
      <c r="U120" s="369"/>
    </row>
    <row r="121" spans="1:21" s="64" customFormat="1" ht="15" customHeight="1">
      <c r="A121" s="749"/>
      <c r="B121" s="65"/>
      <c r="C121" s="108"/>
      <c r="D121" s="78"/>
      <c r="E121" s="78"/>
      <c r="F121" s="78"/>
      <c r="G121" s="78"/>
      <c r="H121" s="78"/>
      <c r="I121" s="78"/>
      <c r="J121" s="78"/>
      <c r="K121" s="78"/>
      <c r="L121" s="78"/>
      <c r="M121" s="78"/>
      <c r="N121" s="68"/>
      <c r="O121" s="808" t="s">
        <v>947</v>
      </c>
      <c r="P121" s="809"/>
      <c r="Q121" s="369"/>
      <c r="R121" s="369"/>
      <c r="S121" s="369"/>
      <c r="T121" s="369"/>
      <c r="U121" s="369"/>
    </row>
    <row r="122" spans="1:21" s="64" customFormat="1" ht="15.75">
      <c r="A122" s="749"/>
      <c r="B122" s="91" t="s">
        <v>48</v>
      </c>
      <c r="C122" s="102"/>
      <c r="D122" s="95"/>
      <c r="E122" s="95"/>
      <c r="F122" s="95"/>
      <c r="G122" s="95"/>
      <c r="H122" s="95"/>
      <c r="I122" s="95"/>
      <c r="J122" s="95"/>
      <c r="K122" s="95"/>
      <c r="L122" s="95"/>
      <c r="M122" s="95"/>
      <c r="N122" s="84"/>
      <c r="O122" s="96"/>
      <c r="P122" s="379"/>
      <c r="Q122" s="369"/>
      <c r="R122" s="369"/>
      <c r="S122" s="369"/>
      <c r="T122" s="369"/>
      <c r="U122" s="369"/>
    </row>
    <row r="123" spans="1:21" s="64" customFormat="1" ht="15.75" thickBot="1">
      <c r="A123" s="749"/>
      <c r="B123" s="94"/>
      <c r="C123" s="102"/>
      <c r="D123" s="95"/>
      <c r="E123" s="95"/>
      <c r="F123" s="95"/>
      <c r="G123" s="95"/>
      <c r="H123" s="95"/>
      <c r="I123" s="95"/>
      <c r="J123" s="95"/>
      <c r="K123" s="95"/>
      <c r="L123" s="95"/>
      <c r="M123" s="95"/>
      <c r="N123" s="84"/>
      <c r="O123" s="370">
        <f>U124</f>
      </c>
      <c r="P123" s="84"/>
      <c r="Q123" s="369"/>
      <c r="R123" s="369"/>
      <c r="S123" s="369"/>
      <c r="T123" s="369"/>
      <c r="U123" s="369"/>
    </row>
    <row r="124" spans="1:21" s="64" customFormat="1" ht="23.25">
      <c r="A124" s="749"/>
      <c r="B124" s="65" t="s">
        <v>47</v>
      </c>
      <c r="C124" s="108"/>
      <c r="D124" s="93">
        <f>'CTB Form'!D44</f>
        <v>0</v>
      </c>
      <c r="E124" s="93">
        <f>'CTB Form'!E44</f>
        <v>0</v>
      </c>
      <c r="F124" s="93">
        <f>'CTB Form'!F44</f>
        <v>11</v>
      </c>
      <c r="G124" s="93">
        <f>'CTB Form'!G44</f>
        <v>18</v>
      </c>
      <c r="H124" s="93">
        <f>'CTB Form'!H44</f>
        <v>32</v>
      </c>
      <c r="I124" s="93">
        <f>'CTB Form'!I44</f>
        <v>28</v>
      </c>
      <c r="J124" s="93">
        <f>'CTB Form'!J44</f>
        <v>38</v>
      </c>
      <c r="K124" s="93">
        <f>'CTB Form'!K44</f>
        <v>35</v>
      </c>
      <c r="L124" s="93">
        <f>'CTB Form'!L44</f>
        <v>15</v>
      </c>
      <c r="M124" s="93">
        <f>'CTB Form'!M44</f>
        <v>177</v>
      </c>
      <c r="N124" s="84"/>
      <c r="O124" s="800"/>
      <c r="P124" s="801"/>
      <c r="Q124" s="371">
        <f>IF(AND((SUM(E128:M128)&lt;&gt;0),O124=""),1,0)</f>
        <v>0</v>
      </c>
      <c r="R124" s="371">
        <f>IF(AND((SUM(E128:M128)=0),O124=""),0,1)</f>
        <v>0</v>
      </c>
      <c r="S124" s="371">
        <f>IF(AND((SUM(E128:M128)=0),O124&lt;&gt;""),2,0)</f>
        <v>0</v>
      </c>
      <c r="T124" s="372">
        <f>SUM(Q124:S124)</f>
        <v>0</v>
      </c>
      <c r="U124" s="371">
        <f>IF(ISNUMBER(T124)=FALSE,"please delete invalid data entry on form",IF(T124=0,"",IF(T124=1,"Reason for differences",IF(T124=3,"No reason required, please DELETE entry below",IF(T124=2,"Please enter reason for differences in appropriate cell(s) below","")))))</f>
      </c>
    </row>
    <row r="125" spans="1:21" s="64" customFormat="1" ht="15">
      <c r="A125" s="749"/>
      <c r="B125" s="65" t="s">
        <v>105</v>
      </c>
      <c r="C125" s="108"/>
      <c r="D125" s="87">
        <f>VLOOKUP('CTB Form'!$G$5,Data!$A$9:$DK$364,64,FALSE)</f>
        <v>0</v>
      </c>
      <c r="E125" s="87">
        <f>VLOOKUP('CTB Form'!$G$5,Data!$A$9:$DK$364,65,FALSE)</f>
        <v>0</v>
      </c>
      <c r="F125" s="87">
        <f>VLOOKUP('CTB Form'!$G$5,Data!$A$9:$DK$364,66,FALSE)</f>
        <v>11</v>
      </c>
      <c r="G125" s="87">
        <f>VLOOKUP('CTB Form'!$G$5,Data!$A$9:$DK$364,67,FALSE)</f>
        <v>21</v>
      </c>
      <c r="H125" s="87">
        <f>VLOOKUP('CTB Form'!$G$5,Data!$A$9:$DK$364,68,FALSE)</f>
        <v>31</v>
      </c>
      <c r="I125" s="87">
        <f>VLOOKUP('CTB Form'!$G$5,Data!$A$9:$DK$364,69,FALSE)</f>
        <v>30</v>
      </c>
      <c r="J125" s="87">
        <f>VLOOKUP('CTB Form'!$G$5,Data!$A$9:$DK$364,70,FALSE)</f>
        <v>37</v>
      </c>
      <c r="K125" s="87">
        <f>VLOOKUP('CTB Form'!$G$5,Data!$A$9:$DK$364,71,FALSE)</f>
        <v>33</v>
      </c>
      <c r="L125" s="87">
        <f>VLOOKUP('CTB Form'!$G$5,Data!$A$9:$DK$364,72,FALSE)</f>
        <v>16</v>
      </c>
      <c r="M125" s="87">
        <f>VLOOKUP('CTB Form'!$G$5,Data!$A$9:$DK$364,73,FALSE)</f>
        <v>179</v>
      </c>
      <c r="N125" s="84"/>
      <c r="O125" s="802"/>
      <c r="P125" s="803"/>
      <c r="Q125" s="369"/>
      <c r="R125" s="369"/>
      <c r="S125" s="369"/>
      <c r="T125" s="369"/>
      <c r="U125" s="369"/>
    </row>
    <row r="126" spans="1:21" s="64" customFormat="1" ht="15">
      <c r="A126" s="749"/>
      <c r="B126" s="94"/>
      <c r="C126" s="102" t="s">
        <v>894</v>
      </c>
      <c r="D126" s="98" t="str">
        <f>IF(D124+D125=0," ",IF(E125=0," ",ABS(D124-D125)))</f>
        <v> </v>
      </c>
      <c r="E126" s="98" t="str">
        <f aca="true" t="shared" si="13" ref="E126:M126">IF(E124+E125=0," ",IF(F125=0," ",ABS(E124-E125)))</f>
        <v> </v>
      </c>
      <c r="F126" s="98">
        <f t="shared" si="13"/>
        <v>0</v>
      </c>
      <c r="G126" s="98">
        <f t="shared" si="13"/>
        <v>3</v>
      </c>
      <c r="H126" s="98">
        <f t="shared" si="13"/>
        <v>1</v>
      </c>
      <c r="I126" s="98">
        <f t="shared" si="13"/>
        <v>2</v>
      </c>
      <c r="J126" s="98">
        <f t="shared" si="13"/>
        <v>1</v>
      </c>
      <c r="K126" s="98">
        <f t="shared" si="13"/>
        <v>2</v>
      </c>
      <c r="L126" s="98">
        <f t="shared" si="13"/>
        <v>1</v>
      </c>
      <c r="M126" s="98" t="str">
        <f t="shared" si="13"/>
        <v> </v>
      </c>
      <c r="N126" s="84"/>
      <c r="O126" s="802"/>
      <c r="P126" s="803"/>
      <c r="Q126" s="369"/>
      <c r="R126" s="369"/>
      <c r="S126" s="369"/>
      <c r="T126" s="369"/>
      <c r="U126" s="369"/>
    </row>
    <row r="127" spans="1:21" s="64" customFormat="1" ht="15.75" thickBot="1">
      <c r="A127" s="749"/>
      <c r="B127" s="94"/>
      <c r="C127" s="102"/>
      <c r="D127" s="95"/>
      <c r="E127" s="95"/>
      <c r="F127" s="4"/>
      <c r="G127" s="95"/>
      <c r="H127" s="95"/>
      <c r="I127" s="95"/>
      <c r="J127" s="95"/>
      <c r="K127" s="95"/>
      <c r="L127" s="95"/>
      <c r="M127" s="95"/>
      <c r="N127" s="84"/>
      <c r="O127" s="802"/>
      <c r="P127" s="803"/>
      <c r="Q127" s="378"/>
      <c r="R127" s="369"/>
      <c r="S127" s="369"/>
      <c r="T127" s="369"/>
      <c r="U127" s="369"/>
    </row>
    <row r="128" spans="1:21" s="64" customFormat="1" ht="30" customHeight="1" thickBot="1">
      <c r="A128" s="749"/>
      <c r="B128" s="80" t="str">
        <f>IF(SUM(E128:M128)=0,"Go to Test 14","Please explain the reason for the change in the yellow box on the right")</f>
        <v>Go to Test 14</v>
      </c>
      <c r="C128" s="110"/>
      <c r="D128" s="86" t="str">
        <f>IF(AND(D125&lt;=20,D126&gt;+Parameters!B17),D126,"")</f>
        <v> </v>
      </c>
      <c r="E128" s="86" t="str">
        <f>IF(AND(E125&lt;=20,E126&gt;+Parameters!C17),E126,"")</f>
        <v> </v>
      </c>
      <c r="F128" s="86">
        <f>IF(AND(F125&lt;=20,F126&gt;+Parameters!D17),F126,"")</f>
      </c>
      <c r="G128" s="86">
        <f>IF(AND(G125&lt;=20,G126&gt;+Parameters!E17),G126,"")</f>
      </c>
      <c r="H128" s="86">
        <f>IF(AND(H125&lt;=20,H126&gt;+Parameters!F17),H126,"")</f>
      </c>
      <c r="I128" s="86">
        <f>IF(AND(I125&lt;=20,I126&gt;+Parameters!G17),I126,"")</f>
      </c>
      <c r="J128" s="86">
        <f>IF(AND(J125&lt;=20,J126&gt;+Parameters!H17),J126,"")</f>
      </c>
      <c r="K128" s="86">
        <f>IF(AND(K125&lt;=20,K126&gt;+Parameters!I17),K126,"")</f>
      </c>
      <c r="L128" s="86">
        <f>IF(AND(L125&lt;=20,L126&gt;+Parameters!J17),L126,"")</f>
      </c>
      <c r="M128" s="86">
        <f>IF(AND(M125&lt;=20,M126&gt;+Parameters!K17),M126,"")</f>
      </c>
      <c r="N128" s="84"/>
      <c r="O128" s="804"/>
      <c r="P128" s="805"/>
      <c r="Q128" s="369"/>
      <c r="R128" s="369"/>
      <c r="S128" s="369"/>
      <c r="T128" s="369"/>
      <c r="U128" s="369"/>
    </row>
    <row r="129" spans="1:21" s="64" customFormat="1" ht="15.75" customHeight="1" thickBot="1">
      <c r="A129" s="832"/>
      <c r="B129" s="389"/>
      <c r="C129" s="387"/>
      <c r="D129" s="388"/>
      <c r="E129" s="388"/>
      <c r="F129" s="388"/>
      <c r="G129" s="388"/>
      <c r="H129" s="388"/>
      <c r="I129" s="388"/>
      <c r="J129" s="388"/>
      <c r="K129" s="388"/>
      <c r="L129" s="388"/>
      <c r="M129" s="388"/>
      <c r="N129" s="389"/>
      <c r="O129" s="806" t="s">
        <v>947</v>
      </c>
      <c r="P129" s="807"/>
      <c r="Q129" s="369"/>
      <c r="R129" s="369"/>
      <c r="S129" s="369"/>
      <c r="T129" s="369"/>
      <c r="U129" s="369"/>
    </row>
    <row r="130" spans="1:16" s="64" customFormat="1" ht="18.75" thickTop="1">
      <c r="A130" s="836" t="s">
        <v>951</v>
      </c>
      <c r="B130" s="99" t="str">
        <f>CONCATENATE("Continued : ",C2)</f>
        <v>Continued : Brent</v>
      </c>
      <c r="C130" s="108"/>
      <c r="D130" s="798"/>
      <c r="E130" s="799"/>
      <c r="F130" s="799"/>
      <c r="G130" s="799"/>
      <c r="H130" s="799"/>
      <c r="I130" s="799"/>
      <c r="J130" s="799"/>
      <c r="K130" s="799"/>
      <c r="L130" s="799"/>
      <c r="M130" s="799"/>
      <c r="N130" s="799"/>
      <c r="O130" s="799"/>
      <c r="P130" s="799"/>
    </row>
    <row r="131" spans="1:16" s="64" customFormat="1" ht="16.5" customHeight="1">
      <c r="A131" s="752"/>
      <c r="B131" s="63"/>
      <c r="C131" s="108"/>
      <c r="D131" s="78"/>
      <c r="E131" s="78"/>
      <c r="F131" s="78"/>
      <c r="G131" s="78"/>
      <c r="H131" s="78"/>
      <c r="I131" s="78"/>
      <c r="J131" s="78"/>
      <c r="K131" s="78"/>
      <c r="L131" s="78"/>
      <c r="M131" s="78"/>
      <c r="N131" s="68"/>
      <c r="O131" s="70"/>
      <c r="P131" s="70"/>
    </row>
    <row r="132" spans="1:16" s="64" customFormat="1" ht="15">
      <c r="A132" s="752"/>
      <c r="B132" s="65"/>
      <c r="C132" s="108"/>
      <c r="D132" s="78"/>
      <c r="E132" s="78"/>
      <c r="F132" s="78"/>
      <c r="G132" s="78"/>
      <c r="H132" s="78"/>
      <c r="I132" s="78"/>
      <c r="J132" s="78"/>
      <c r="K132" s="78"/>
      <c r="L132" s="78"/>
      <c r="M132" s="78"/>
      <c r="N132" s="68"/>
      <c r="O132" s="70"/>
      <c r="P132" s="70"/>
    </row>
    <row r="133" spans="1:16" s="64" customFormat="1" ht="15.75">
      <c r="A133" s="752"/>
      <c r="B133" s="63" t="s">
        <v>49</v>
      </c>
      <c r="C133" s="108"/>
      <c r="D133" s="78"/>
      <c r="E133" s="78"/>
      <c r="F133" s="78"/>
      <c r="G133" s="78"/>
      <c r="H133" s="78"/>
      <c r="I133" s="78"/>
      <c r="J133" s="78"/>
      <c r="K133" s="78"/>
      <c r="L133" s="78"/>
      <c r="M133" s="78"/>
      <c r="N133" s="68"/>
      <c r="O133" s="70"/>
      <c r="P133" s="70"/>
    </row>
    <row r="134" spans="1:21" s="64" customFormat="1" ht="15.75" thickBot="1">
      <c r="A134" s="752"/>
      <c r="B134" s="65"/>
      <c r="C134" s="108"/>
      <c r="D134" s="78"/>
      <c r="E134" s="78"/>
      <c r="F134" s="78"/>
      <c r="G134" s="78"/>
      <c r="H134" s="78"/>
      <c r="I134" s="78"/>
      <c r="J134" s="78"/>
      <c r="K134" s="78"/>
      <c r="L134" s="78"/>
      <c r="M134" s="78"/>
      <c r="N134" s="68"/>
      <c r="O134" s="370" t="str">
        <f>U135</f>
        <v>Reason for differences</v>
      </c>
      <c r="P134" s="84"/>
      <c r="Q134" s="369"/>
      <c r="R134" s="369"/>
      <c r="S134" s="369"/>
      <c r="T134" s="369"/>
      <c r="U134" s="369"/>
    </row>
    <row r="135" spans="1:21" s="64" customFormat="1" ht="23.25">
      <c r="A135" s="752"/>
      <c r="B135" s="65" t="s">
        <v>50</v>
      </c>
      <c r="C135" s="108"/>
      <c r="D135" s="82"/>
      <c r="E135" s="93">
        <f>'CTB Form'!E46</f>
        <v>104</v>
      </c>
      <c r="F135" s="93">
        <f>'CTB Form'!F46</f>
        <v>64</v>
      </c>
      <c r="G135" s="93">
        <f>'CTB Form'!G46</f>
        <v>276</v>
      </c>
      <c r="H135" s="93">
        <f>'CTB Form'!H46</f>
        <v>185</v>
      </c>
      <c r="I135" s="93">
        <f>'CTB Form'!I46</f>
        <v>150</v>
      </c>
      <c r="J135" s="93">
        <f>'CTB Form'!J46</f>
        <v>55</v>
      </c>
      <c r="K135" s="93">
        <f>'CTB Form'!K46</f>
        <v>41</v>
      </c>
      <c r="L135" s="93">
        <f>'CTB Form'!L46</f>
        <v>14</v>
      </c>
      <c r="M135" s="93">
        <f>'CTB Form'!M46</f>
        <v>889</v>
      </c>
      <c r="N135" s="68"/>
      <c r="O135" s="800" t="s">
        <v>1040</v>
      </c>
      <c r="P135" s="801"/>
      <c r="Q135" s="371">
        <f>IF(AND((SUM(E139:M139)&lt;&gt;0),O135=""),1,0)</f>
        <v>0</v>
      </c>
      <c r="R135" s="371">
        <f>IF(AND((SUM(E139:M139)=0),O135=""),0,1)</f>
        <v>1</v>
      </c>
      <c r="S135" s="371">
        <f>IF(AND((SUM(E139:M139)=0),O135&lt;&gt;""),2,0)</f>
        <v>0</v>
      </c>
      <c r="T135" s="372">
        <f>SUM(Q135:S135)</f>
        <v>1</v>
      </c>
      <c r="U135" s="371" t="str">
        <f>IF(ISNUMBER(T135)=FALSE,"please delete invalid data entry on form",IF(T135=0,"",IF(T135=1,"Reason for differences",IF(T135=3,"No reason required, please DELETE entry below",IF(T135=2,"Please enter reason for differences in appropriate cell(s) below","")))))</f>
        <v>Reason for differences</v>
      </c>
    </row>
    <row r="136" spans="1:21" s="64" customFormat="1" ht="15">
      <c r="A136" s="752"/>
      <c r="B136" s="65" t="s">
        <v>106</v>
      </c>
      <c r="C136" s="108"/>
      <c r="D136" s="87"/>
      <c r="E136" s="87">
        <f>VLOOKUP('CTB Form'!$G$5,Data!$A$9:$DK$364,75,FALSE)</f>
        <v>79</v>
      </c>
      <c r="F136" s="87">
        <f>VLOOKUP('CTB Form'!$G$5,Data!$A$9:$DK$364,76,FALSE)</f>
        <v>82</v>
      </c>
      <c r="G136" s="87">
        <f>VLOOKUP('CTB Form'!$G$5,Data!$A$9:$DK$364,77,FALSE)</f>
        <v>288</v>
      </c>
      <c r="H136" s="87">
        <f>VLOOKUP('CTB Form'!$G$5,Data!$A$9:$DK$364,78,FALSE)</f>
        <v>209</v>
      </c>
      <c r="I136" s="87">
        <f>VLOOKUP('CTB Form'!$G$5,Data!$A$9:$DK$364,79,FALSE)</f>
        <v>161</v>
      </c>
      <c r="J136" s="87">
        <f>VLOOKUP('CTB Form'!$G$5,Data!$A$9:$DK$364,80,FALSE)</f>
        <v>61</v>
      </c>
      <c r="K136" s="87">
        <f>VLOOKUP('CTB Form'!$G$5,Data!$A$9:$DK$364,81,FALSE)</f>
        <v>36</v>
      </c>
      <c r="L136" s="87">
        <f>VLOOKUP('CTB Form'!$G$5,Data!$A$9:$DK$364,82,FALSE)</f>
        <v>16</v>
      </c>
      <c r="M136" s="87">
        <f>VLOOKUP('CTB Form'!$G$5,Data!$A$9:$DK$364,83,FALSE)</f>
        <v>932</v>
      </c>
      <c r="N136" s="68"/>
      <c r="O136" s="802"/>
      <c r="P136" s="803"/>
      <c r="Q136" s="369"/>
      <c r="R136" s="369"/>
      <c r="S136" s="369"/>
      <c r="T136" s="369"/>
      <c r="U136" s="369"/>
    </row>
    <row r="137" spans="1:21" s="64" customFormat="1" ht="15">
      <c r="A137" s="752"/>
      <c r="B137" s="94"/>
      <c r="C137" s="102" t="s">
        <v>928</v>
      </c>
      <c r="D137" s="82"/>
      <c r="E137" s="93">
        <f>IF(E135+E136=0," ",IF(E135=0," ",ABS(E135-E136)/E136*100))</f>
        <v>31.645569620253166</v>
      </c>
      <c r="F137" s="93">
        <f aca="true" t="shared" si="14" ref="F137:M137">IF(F135+F136=0," ",IF(F135=0," ",ABS(F135-F136)/F136*100))</f>
        <v>21.951219512195124</v>
      </c>
      <c r="G137" s="93">
        <f t="shared" si="14"/>
        <v>4.166666666666666</v>
      </c>
      <c r="H137" s="93">
        <f t="shared" si="14"/>
        <v>11.483253588516746</v>
      </c>
      <c r="I137" s="93">
        <f t="shared" si="14"/>
        <v>6.832298136645963</v>
      </c>
      <c r="J137" s="93">
        <f t="shared" si="14"/>
        <v>9.836065573770492</v>
      </c>
      <c r="K137" s="93">
        <f t="shared" si="14"/>
        <v>13.88888888888889</v>
      </c>
      <c r="L137" s="93">
        <f t="shared" si="14"/>
        <v>12.5</v>
      </c>
      <c r="M137" s="93">
        <f t="shared" si="14"/>
        <v>4.6137339055794</v>
      </c>
      <c r="N137" s="68"/>
      <c r="O137" s="802"/>
      <c r="P137" s="803"/>
      <c r="Q137" s="369"/>
      <c r="R137" s="369"/>
      <c r="S137" s="369"/>
      <c r="T137" s="369"/>
      <c r="U137" s="369"/>
    </row>
    <row r="138" spans="1:21" s="64" customFormat="1" ht="15.75" thickBot="1">
      <c r="A138" s="752"/>
      <c r="B138" s="94"/>
      <c r="C138" s="102"/>
      <c r="D138" s="78"/>
      <c r="E138" s="95"/>
      <c r="F138" s="95"/>
      <c r="G138" s="95"/>
      <c r="H138" s="95"/>
      <c r="I138" s="95"/>
      <c r="J138" s="95"/>
      <c r="K138" s="95"/>
      <c r="L138" s="95"/>
      <c r="M138" s="95"/>
      <c r="N138" s="68"/>
      <c r="O138" s="802"/>
      <c r="P138" s="803"/>
      <c r="Q138" s="378"/>
      <c r="R138" s="369"/>
      <c r="S138" s="369"/>
      <c r="T138" s="369"/>
      <c r="U138" s="369"/>
    </row>
    <row r="139" spans="1:21" s="64" customFormat="1" ht="30" customHeight="1" thickBot="1">
      <c r="A139" s="752"/>
      <c r="B139" s="80" t="str">
        <f>IF(SUM(E139:M139)=0,"Go to Test 15","Please explain the reason for the change in the yellow box on the right")</f>
        <v>Please explain the reason for the change in the yellow box on the right</v>
      </c>
      <c r="C139" s="110"/>
      <c r="D139" s="83"/>
      <c r="E139" s="74">
        <f>IF(AND(E136&gt;20,E137&gt;+Parameters!C18),E137,"")</f>
        <v>31.645569620253166</v>
      </c>
      <c r="F139" s="74">
        <f>IF(AND(F136&gt;20,F137&gt;+Parameters!D18),F137,"")</f>
        <v>21.951219512195124</v>
      </c>
      <c r="G139" s="74">
        <f>IF(AND(G136&gt;20,G137&gt;+Parameters!E18),G137,"")</f>
      </c>
      <c r="H139" s="74">
        <f>IF(AND(H136&gt;20,H137&gt;+Parameters!F18),H137,"")</f>
      </c>
      <c r="I139" s="74">
        <f>IF(AND(I136&gt;20,I137&gt;+Parameters!G18),I137,"")</f>
      </c>
      <c r="J139" s="74">
        <f>IF(AND(J136&gt;20,J137&gt;+Parameters!H18),J137,"")</f>
      </c>
      <c r="K139" s="74">
        <f>IF(AND(K136&gt;20,K137&gt;+Parameters!I18),K137,"")</f>
      </c>
      <c r="L139" s="74">
        <f>IF(AND(L136&gt;20,L137&gt;+Parameters!J18),L137,"")</f>
      </c>
      <c r="M139" s="74">
        <f>IF(AND(M136&gt;20,M137&gt;+Parameters!K18),M137,"")</f>
      </c>
      <c r="N139" s="68"/>
      <c r="O139" s="804"/>
      <c r="P139" s="805"/>
      <c r="Q139" s="369"/>
      <c r="R139" s="369"/>
      <c r="S139" s="369"/>
      <c r="T139" s="369"/>
      <c r="U139" s="369"/>
    </row>
    <row r="140" spans="1:21" s="64" customFormat="1" ht="15" customHeight="1">
      <c r="A140" s="752"/>
      <c r="B140" s="65"/>
      <c r="C140" s="108"/>
      <c r="D140" s="78"/>
      <c r="E140" s="78"/>
      <c r="F140" s="78"/>
      <c r="G140" s="78"/>
      <c r="H140" s="78"/>
      <c r="I140" s="78"/>
      <c r="J140" s="78"/>
      <c r="K140" s="78"/>
      <c r="L140" s="78"/>
      <c r="M140" s="78"/>
      <c r="N140" s="68"/>
      <c r="O140" s="808" t="s">
        <v>947</v>
      </c>
      <c r="P140" s="809"/>
      <c r="Q140" s="369"/>
      <c r="R140" s="369"/>
      <c r="S140" s="369"/>
      <c r="T140" s="369"/>
      <c r="U140" s="369"/>
    </row>
    <row r="141" spans="1:21" s="64" customFormat="1" ht="15.75">
      <c r="A141" s="752"/>
      <c r="B141" s="91" t="s">
        <v>51</v>
      </c>
      <c r="C141" s="102"/>
      <c r="D141" s="78"/>
      <c r="E141" s="95"/>
      <c r="F141" s="95"/>
      <c r="G141" s="95"/>
      <c r="H141" s="95"/>
      <c r="I141" s="95"/>
      <c r="J141" s="95"/>
      <c r="K141" s="95"/>
      <c r="L141" s="95"/>
      <c r="M141" s="95"/>
      <c r="N141" s="84"/>
      <c r="O141" s="96"/>
      <c r="P141" s="96"/>
      <c r="Q141" s="369"/>
      <c r="R141" s="369"/>
      <c r="S141" s="369"/>
      <c r="T141" s="369"/>
      <c r="U141" s="369"/>
    </row>
    <row r="142" spans="1:21" s="64" customFormat="1" ht="15.75" thickBot="1">
      <c r="A142" s="752"/>
      <c r="B142" s="94"/>
      <c r="C142" s="102"/>
      <c r="D142" s="78"/>
      <c r="E142" s="95"/>
      <c r="F142" s="95"/>
      <c r="G142" s="95"/>
      <c r="H142" s="95"/>
      <c r="I142" s="95"/>
      <c r="J142" s="95"/>
      <c r="K142" s="95"/>
      <c r="L142" s="95"/>
      <c r="M142" s="95"/>
      <c r="N142" s="84"/>
      <c r="O142" s="370">
        <f>U143</f>
      </c>
      <c r="P142" s="84"/>
      <c r="Q142" s="369"/>
      <c r="R142" s="369"/>
      <c r="S142" s="369"/>
      <c r="T142" s="369"/>
      <c r="U142" s="369"/>
    </row>
    <row r="143" spans="1:21" s="64" customFormat="1" ht="23.25">
      <c r="A143" s="752"/>
      <c r="B143" s="65" t="s">
        <v>50</v>
      </c>
      <c r="C143" s="108"/>
      <c r="D143" s="82"/>
      <c r="E143" s="93">
        <f>'CTB Form'!E46</f>
        <v>104</v>
      </c>
      <c r="F143" s="93">
        <f>'CTB Form'!F46</f>
        <v>64</v>
      </c>
      <c r="G143" s="93">
        <f>'CTB Form'!G46</f>
        <v>276</v>
      </c>
      <c r="H143" s="93">
        <f>'CTB Form'!H46</f>
        <v>185</v>
      </c>
      <c r="I143" s="93">
        <f>'CTB Form'!I46</f>
        <v>150</v>
      </c>
      <c r="J143" s="93">
        <f>'CTB Form'!J46</f>
        <v>55</v>
      </c>
      <c r="K143" s="93">
        <f>'CTB Form'!K46</f>
        <v>41</v>
      </c>
      <c r="L143" s="93">
        <f>'CTB Form'!L46</f>
        <v>14</v>
      </c>
      <c r="M143" s="93">
        <f>'CTB Form'!M46</f>
        <v>889</v>
      </c>
      <c r="N143" s="84"/>
      <c r="O143" s="800"/>
      <c r="P143" s="801"/>
      <c r="Q143" s="371">
        <f>IF(AND((SUM(E147:M147)&lt;&gt;0),O143=""),1,0)</f>
        <v>0</v>
      </c>
      <c r="R143" s="371">
        <f>IF(AND((SUM(E147:M147)=0),O143=""),0,1)</f>
        <v>0</v>
      </c>
      <c r="S143" s="371">
        <f>IF(AND((SUM(E147:M147)=0),O143&lt;&gt;""),2,0)</f>
        <v>0</v>
      </c>
      <c r="T143" s="372">
        <f>SUM(Q143:S143)</f>
        <v>0</v>
      </c>
      <c r="U143" s="371">
        <f>IF(ISNUMBER(T143)=FALSE,"please delete invalid data entry on form",IF(T143=0,"",IF(T143=1,"Reason for differences",IF(T143=3,"No reason required, please DELETE entry below",IF(T143=2,"Please enter reason for differences in appropriate cell(s) below","")))))</f>
      </c>
    </row>
    <row r="144" spans="1:21" s="64" customFormat="1" ht="15">
      <c r="A144" s="752"/>
      <c r="B144" s="65" t="s">
        <v>106</v>
      </c>
      <c r="C144" s="108"/>
      <c r="D144" s="87"/>
      <c r="E144" s="87">
        <f>VLOOKUP('CTB Form'!$G$5,Data!$A$9:$DK$364,75,FALSE)</f>
        <v>79</v>
      </c>
      <c r="F144" s="87">
        <f>VLOOKUP('CTB Form'!$G$5,Data!$A$9:$DK$364,76,FALSE)</f>
        <v>82</v>
      </c>
      <c r="G144" s="87">
        <f>VLOOKUP('CTB Form'!$G$5,Data!$A$9:$DK$364,77,FALSE)</f>
        <v>288</v>
      </c>
      <c r="H144" s="87">
        <f>VLOOKUP('CTB Form'!$G$5,Data!$A$9:$DK$364,78,FALSE)</f>
        <v>209</v>
      </c>
      <c r="I144" s="87">
        <f>VLOOKUP('CTB Form'!$G$5,Data!$A$9:$DK$364,79,FALSE)</f>
        <v>161</v>
      </c>
      <c r="J144" s="87">
        <f>VLOOKUP('CTB Form'!$G$5,Data!$A$9:$DK$364,80,FALSE)</f>
        <v>61</v>
      </c>
      <c r="K144" s="87">
        <f>VLOOKUP('CTB Form'!$G$5,Data!$A$9:$DK$364,81,FALSE)</f>
        <v>36</v>
      </c>
      <c r="L144" s="87">
        <f>VLOOKUP('CTB Form'!$G$5,Data!$A$9:$DK$364,82,FALSE)</f>
        <v>16</v>
      </c>
      <c r="M144" s="87">
        <f>VLOOKUP('CTB Form'!$G$5,Data!$A$9:$DK$364,83,FALSE)</f>
        <v>932</v>
      </c>
      <c r="N144" s="84"/>
      <c r="O144" s="802"/>
      <c r="P144" s="803"/>
      <c r="Q144" s="369"/>
      <c r="R144" s="369"/>
      <c r="S144" s="369"/>
      <c r="T144" s="369"/>
      <c r="U144" s="369"/>
    </row>
    <row r="145" spans="1:21" s="64" customFormat="1" ht="15">
      <c r="A145" s="752"/>
      <c r="B145" s="94"/>
      <c r="C145" s="102" t="s">
        <v>894</v>
      </c>
      <c r="D145" s="88"/>
      <c r="E145" s="98">
        <f>IF(E143+E144=0," ",IF(E143=0," ",ABS(E143-E144)))</f>
        <v>25</v>
      </c>
      <c r="F145" s="98">
        <f aca="true" t="shared" si="15" ref="F145:M145">IF(F143+F144=0," ",IF(F143=0," ",ABS(F143-F144)))</f>
        <v>18</v>
      </c>
      <c r="G145" s="98">
        <f t="shared" si="15"/>
        <v>12</v>
      </c>
      <c r="H145" s="98">
        <f t="shared" si="15"/>
        <v>24</v>
      </c>
      <c r="I145" s="98">
        <f t="shared" si="15"/>
        <v>11</v>
      </c>
      <c r="J145" s="98">
        <f t="shared" si="15"/>
        <v>6</v>
      </c>
      <c r="K145" s="98">
        <f t="shared" si="15"/>
        <v>5</v>
      </c>
      <c r="L145" s="98">
        <f t="shared" si="15"/>
        <v>2</v>
      </c>
      <c r="M145" s="98">
        <f t="shared" si="15"/>
        <v>43</v>
      </c>
      <c r="N145" s="84"/>
      <c r="O145" s="802"/>
      <c r="P145" s="803"/>
      <c r="Q145" s="369"/>
      <c r="R145" s="369"/>
      <c r="S145" s="369"/>
      <c r="T145" s="369"/>
      <c r="U145" s="369"/>
    </row>
    <row r="146" spans="1:21" s="64" customFormat="1" ht="15.75" thickBot="1">
      <c r="A146" s="752"/>
      <c r="B146" s="94"/>
      <c r="C146" s="102"/>
      <c r="D146" s="78"/>
      <c r="E146" s="95"/>
      <c r="F146" s="4"/>
      <c r="G146" s="95"/>
      <c r="H146" s="95"/>
      <c r="I146" s="95"/>
      <c r="J146" s="95"/>
      <c r="K146" s="95"/>
      <c r="L146" s="95"/>
      <c r="M146" s="95"/>
      <c r="N146" s="84"/>
      <c r="O146" s="802"/>
      <c r="P146" s="803"/>
      <c r="Q146" s="378"/>
      <c r="R146" s="369"/>
      <c r="S146" s="369"/>
      <c r="T146" s="369"/>
      <c r="U146" s="369"/>
    </row>
    <row r="147" spans="1:21" s="64" customFormat="1" ht="30" customHeight="1" thickBot="1">
      <c r="A147" s="752"/>
      <c r="B147" s="80" t="str">
        <f>IF(SUM(E147:M147)=0,"Go to Test 16","Please explain the reason for the change in the yellow box on the right")</f>
        <v>Go to Test 16</v>
      </c>
      <c r="C147" s="110"/>
      <c r="D147" s="89"/>
      <c r="E147" s="86">
        <f>IF(AND(E144&lt;=20,E145&gt;+Parameters!C19),E145,"")</f>
      </c>
      <c r="F147" s="86">
        <f>IF(AND(F144&lt;=20,F145&gt;+Parameters!D19),F145,"")</f>
      </c>
      <c r="G147" s="86">
        <f>IF(AND(G144&lt;=20,G145&gt;+Parameters!E19),G145,"")</f>
      </c>
      <c r="H147" s="86">
        <f>IF(AND(H144&lt;=20,H145&gt;+Parameters!F19),H145,"")</f>
      </c>
      <c r="I147" s="86">
        <f>IF(AND(I144&lt;=20,I145&gt;+Parameters!G19),I145,"")</f>
      </c>
      <c r="J147" s="86">
        <f>IF(AND(J144&lt;=20,J145&gt;+Parameters!H19),J145,"")</f>
      </c>
      <c r="K147" s="86">
        <f>IF(AND(K144&lt;=20,K145&gt;+Parameters!I19),K145,"")</f>
      </c>
      <c r="L147" s="86">
        <f>IF(AND(L144&lt;=20,L145&gt;+Parameters!J19),L145,"")</f>
      </c>
      <c r="M147" s="86">
        <f>IF(AND(M144&lt;=20,M145&gt;+Parameters!K19),M145,"")</f>
      </c>
      <c r="N147" s="84"/>
      <c r="O147" s="804"/>
      <c r="P147" s="805"/>
      <c r="Q147" s="369"/>
      <c r="R147" s="369"/>
      <c r="S147" s="369"/>
      <c r="T147" s="369"/>
      <c r="U147" s="369"/>
    </row>
    <row r="148" spans="1:21" s="64" customFormat="1" ht="15.75" customHeight="1" thickBot="1">
      <c r="A148" s="832"/>
      <c r="B148" s="386"/>
      <c r="C148" s="387"/>
      <c r="D148" s="388"/>
      <c r="E148" s="388"/>
      <c r="F148" s="388"/>
      <c r="G148" s="388"/>
      <c r="H148" s="388"/>
      <c r="I148" s="388"/>
      <c r="J148" s="388"/>
      <c r="K148" s="388"/>
      <c r="L148" s="388"/>
      <c r="M148" s="388"/>
      <c r="N148" s="389"/>
      <c r="O148" s="806" t="s">
        <v>947</v>
      </c>
      <c r="P148" s="807"/>
      <c r="Q148" s="369"/>
      <c r="R148" s="369"/>
      <c r="S148" s="369"/>
      <c r="T148" s="369"/>
      <c r="U148" s="369"/>
    </row>
    <row r="149" spans="1:16" s="64" customFormat="1" ht="15.75" thickTop="1">
      <c r="A149" s="830" t="s">
        <v>929</v>
      </c>
      <c r="B149" s="396"/>
      <c r="C149" s="395"/>
      <c r="D149" s="798"/>
      <c r="E149" s="799"/>
      <c r="F149" s="799"/>
      <c r="G149" s="799"/>
      <c r="H149" s="799"/>
      <c r="I149" s="799"/>
      <c r="J149" s="799"/>
      <c r="K149" s="799"/>
      <c r="L149" s="799"/>
      <c r="M149" s="799"/>
      <c r="N149" s="799"/>
      <c r="O149" s="799"/>
      <c r="P149" s="799"/>
    </row>
    <row r="150" spans="1:16" s="64" customFormat="1" ht="15.75">
      <c r="A150" s="837"/>
      <c r="B150" s="63" t="s">
        <v>52</v>
      </c>
      <c r="C150" s="108"/>
      <c r="D150" s="78"/>
      <c r="E150" s="78"/>
      <c r="F150" s="78"/>
      <c r="G150" s="78"/>
      <c r="H150" s="78"/>
      <c r="I150" s="78"/>
      <c r="J150" s="78"/>
      <c r="K150" s="78"/>
      <c r="L150" s="78"/>
      <c r="M150" s="78"/>
      <c r="N150" s="68"/>
      <c r="O150" s="70"/>
      <c r="P150" s="70"/>
    </row>
    <row r="151" spans="1:21" s="64" customFormat="1" ht="15.75" thickBot="1">
      <c r="A151" s="837"/>
      <c r="B151" s="65"/>
      <c r="C151" s="108"/>
      <c r="D151" s="78"/>
      <c r="E151" s="78"/>
      <c r="F151" s="78"/>
      <c r="G151" s="78"/>
      <c r="H151" s="78"/>
      <c r="I151" s="78"/>
      <c r="J151" s="78"/>
      <c r="K151" s="78"/>
      <c r="L151" s="78"/>
      <c r="M151" s="78"/>
      <c r="N151" s="68"/>
      <c r="O151" s="370">
        <f>U152</f>
      </c>
      <c r="P151" s="84"/>
      <c r="Q151" s="369"/>
      <c r="R151" s="369"/>
      <c r="S151" s="369"/>
      <c r="T151" s="369"/>
      <c r="U151" s="369"/>
    </row>
    <row r="152" spans="1:21" s="64" customFormat="1" ht="23.25">
      <c r="A152" s="837"/>
      <c r="B152" s="65" t="s">
        <v>53</v>
      </c>
      <c r="C152" s="108"/>
      <c r="D152" s="97"/>
      <c r="E152" s="93">
        <f>'CTB Form'!E48</f>
        <v>0</v>
      </c>
      <c r="F152" s="93">
        <f>'CTB Form'!F48</f>
        <v>0</v>
      </c>
      <c r="G152" s="93">
        <f>'CTB Form'!G48</f>
        <v>0</v>
      </c>
      <c r="H152" s="93">
        <f>'CTB Form'!H48</f>
        <v>0</v>
      </c>
      <c r="I152" s="93">
        <f>'CTB Form'!I48</f>
        <v>0</v>
      </c>
      <c r="J152" s="93">
        <f>'CTB Form'!J48</f>
        <v>0</v>
      </c>
      <c r="K152" s="93">
        <f>'CTB Form'!K48</f>
        <v>0</v>
      </c>
      <c r="L152" s="93">
        <f>'CTB Form'!L48</f>
        <v>0</v>
      </c>
      <c r="M152" s="93">
        <f>'CTB Form'!M48</f>
        <v>0</v>
      </c>
      <c r="N152" s="68"/>
      <c r="O152" s="842"/>
      <c r="P152" s="843"/>
      <c r="Q152" s="371">
        <f>IF(AND((SUM(E156:M156)&lt;&gt;0),O152=""),1,0)</f>
        <v>0</v>
      </c>
      <c r="R152" s="371">
        <f>IF(AND((SUM(E156:M156)=0),O152=""),0,1)</f>
        <v>0</v>
      </c>
      <c r="S152" s="371">
        <f>IF(AND((SUM(E156:M156)=0),O152&lt;&gt;""),2,0)</f>
        <v>0</v>
      </c>
      <c r="T152" s="372">
        <f>SUM(Q152:S152)</f>
        <v>0</v>
      </c>
      <c r="U152" s="371">
        <f>IF(ISNUMBER(T152)=FALSE,"please delete invalid data entry on form",IF(T152=0,"",IF(T152=1,"Reason for differences",IF(T152=3,"No reason required, please DELETE entry below",IF(T152=2,"Please enter reason for differences in appropriate cell(s) below","")))))</f>
      </c>
    </row>
    <row r="153" spans="1:21" s="64" customFormat="1" ht="15">
      <c r="A153" s="837"/>
      <c r="B153" s="65" t="s">
        <v>107</v>
      </c>
      <c r="C153" s="108"/>
      <c r="D153" s="73"/>
      <c r="E153" s="87">
        <f>VLOOKUP('CTB Form'!$G$5,Data!$A$9:$DK$364,85,FALSE)</f>
        <v>0</v>
      </c>
      <c r="F153" s="87">
        <f>VLOOKUP('CTB Form'!$G$5,Data!$A$9:$DK$364,86,FALSE)</f>
        <v>0</v>
      </c>
      <c r="G153" s="87">
        <f>VLOOKUP('CTB Form'!$G$5,Data!$A$9:$DK$364,87,FALSE)</f>
        <v>0</v>
      </c>
      <c r="H153" s="87">
        <f>VLOOKUP('CTB Form'!$G$5,Data!$A$9:$DK$364,88,FALSE)</f>
        <v>0</v>
      </c>
      <c r="I153" s="87">
        <f>VLOOKUP('CTB Form'!$G$5,Data!$A$9:$DK$364,89,FALSE)</f>
        <v>0</v>
      </c>
      <c r="J153" s="87">
        <f>VLOOKUP('CTB Form'!$G$5,Data!$A$9:$DK$364,90,FALSE)</f>
        <v>0</v>
      </c>
      <c r="K153" s="87">
        <f>VLOOKUP('CTB Form'!$G$5,Data!$A$9:$DK$364,91,FALSE)</f>
        <v>0</v>
      </c>
      <c r="L153" s="87">
        <f>VLOOKUP('CTB Form'!$G$5,Data!$A$9:$DK$364,92,FALSE)</f>
        <v>0</v>
      </c>
      <c r="M153" s="87">
        <f>VLOOKUP('CTB Form'!$G$5,Data!$A$9:$DK$364,93,FALSE)</f>
        <v>0</v>
      </c>
      <c r="N153" s="68"/>
      <c r="O153" s="844"/>
      <c r="P153" s="845"/>
      <c r="Q153" s="369"/>
      <c r="R153" s="369"/>
      <c r="S153" s="369"/>
      <c r="T153" s="369"/>
      <c r="U153" s="369"/>
    </row>
    <row r="154" spans="1:21" s="64" customFormat="1" ht="15">
      <c r="A154" s="837"/>
      <c r="B154" s="65"/>
      <c r="C154" s="102" t="s">
        <v>928</v>
      </c>
      <c r="D154" s="93"/>
      <c r="E154" s="93" t="str">
        <f>IF(E152+E153=0," ",IF(E153=0," ",ABS(E152-E153)/E153*100))</f>
        <v> </v>
      </c>
      <c r="F154" s="93" t="str">
        <f aca="true" t="shared" si="16" ref="F154:M154">IF(F152+F153=0," ",IF(F153=0," ",ABS(F152-F153)/F153*100))</f>
        <v> </v>
      </c>
      <c r="G154" s="93" t="str">
        <f t="shared" si="16"/>
        <v> </v>
      </c>
      <c r="H154" s="93" t="str">
        <f t="shared" si="16"/>
        <v> </v>
      </c>
      <c r="I154" s="93" t="str">
        <f t="shared" si="16"/>
        <v> </v>
      </c>
      <c r="J154" s="93" t="str">
        <f t="shared" si="16"/>
        <v> </v>
      </c>
      <c r="K154" s="93" t="str">
        <f t="shared" si="16"/>
        <v> </v>
      </c>
      <c r="L154" s="93" t="str">
        <f t="shared" si="16"/>
        <v> </v>
      </c>
      <c r="M154" s="93" t="str">
        <f t="shared" si="16"/>
        <v> </v>
      </c>
      <c r="N154" s="68"/>
      <c r="O154" s="844"/>
      <c r="P154" s="845"/>
      <c r="Q154" s="369"/>
      <c r="R154" s="369"/>
      <c r="S154" s="369"/>
      <c r="T154" s="369"/>
      <c r="U154" s="369"/>
    </row>
    <row r="155" spans="1:21" s="64" customFormat="1" ht="15.75" thickBot="1">
      <c r="A155" s="837"/>
      <c r="B155" s="65"/>
      <c r="C155" s="102"/>
      <c r="D155" s="95"/>
      <c r="E155" s="95"/>
      <c r="F155" s="95"/>
      <c r="G155" s="95"/>
      <c r="H155" s="95"/>
      <c r="I155" s="95"/>
      <c r="J155" s="95"/>
      <c r="K155" s="95"/>
      <c r="L155" s="95"/>
      <c r="M155" s="95"/>
      <c r="N155" s="68"/>
      <c r="O155" s="844"/>
      <c r="P155" s="845"/>
      <c r="Q155" s="378"/>
      <c r="R155" s="369"/>
      <c r="S155" s="369"/>
      <c r="T155" s="369"/>
      <c r="U155" s="369"/>
    </row>
    <row r="156" spans="1:21" s="64" customFormat="1" ht="30" customHeight="1" thickBot="1">
      <c r="A156" s="837"/>
      <c r="B156" s="80" t="str">
        <f>IF(SUM(E156:M156)=0,"Go to Test 17","Please explain the reason for the change in the yellow box on the right")</f>
        <v>Go to Test 17</v>
      </c>
      <c r="C156" s="110"/>
      <c r="D156" s="83"/>
      <c r="E156" s="74">
        <f>IF(AND(E153&gt;20,E154&gt;+Parameters!C20),E154,"")</f>
      </c>
      <c r="F156" s="74">
        <f>IF(AND(F153&gt;20,F154&gt;+Parameters!D20),F154,"")</f>
      </c>
      <c r="G156" s="74">
        <f>IF(AND(G153&gt;20,G154&gt;+Parameters!E20),G154,"")</f>
      </c>
      <c r="H156" s="74">
        <f>IF(AND(H153&gt;20,H154&gt;+Parameters!F20),H154,"")</f>
      </c>
      <c r="I156" s="74">
        <f>IF(AND(I153&gt;20,I154&gt;+Parameters!G20),I154,"")</f>
      </c>
      <c r="J156" s="74">
        <f>IF(AND(J153&gt;20,J154&gt;+Parameters!H20),J154,"")</f>
      </c>
      <c r="K156" s="74">
        <f>IF(AND(K153&gt;20,K154&gt;+Parameters!I20),K154,"")</f>
      </c>
      <c r="L156" s="74">
        <f>IF(AND(L153&gt;20,L154&gt;+Parameters!J20),L154,"")</f>
      </c>
      <c r="M156" s="74">
        <f>IF(AND(M153&gt;20,M154&gt;+Parameters!K20),M154,"")</f>
      </c>
      <c r="N156" s="68"/>
      <c r="O156" s="846"/>
      <c r="P156" s="847"/>
      <c r="Q156" s="369"/>
      <c r="R156" s="369"/>
      <c r="S156" s="369"/>
      <c r="T156" s="369"/>
      <c r="U156" s="369"/>
    </row>
    <row r="157" spans="1:21" s="64" customFormat="1" ht="15.75" customHeight="1" thickBot="1">
      <c r="A157" s="838"/>
      <c r="B157" s="390"/>
      <c r="C157" s="391"/>
      <c r="D157" s="392"/>
      <c r="E157" s="392"/>
      <c r="F157" s="392"/>
      <c r="G157" s="392"/>
      <c r="H157" s="392"/>
      <c r="I157" s="392"/>
      <c r="J157" s="392"/>
      <c r="K157" s="392"/>
      <c r="L157" s="392"/>
      <c r="M157" s="392"/>
      <c r="N157" s="389"/>
      <c r="O157" s="806" t="s">
        <v>947</v>
      </c>
      <c r="P157" s="807"/>
      <c r="Q157" s="369"/>
      <c r="R157" s="369"/>
      <c r="S157" s="369"/>
      <c r="T157" s="369"/>
      <c r="U157" s="369"/>
    </row>
    <row r="158" spans="1:16" ht="18.75" thickTop="1">
      <c r="A158" s="836" t="s">
        <v>930</v>
      </c>
      <c r="B158" s="397"/>
      <c r="C158" s="384"/>
      <c r="D158" s="798"/>
      <c r="E158" s="841"/>
      <c r="F158" s="841"/>
      <c r="G158" s="841"/>
      <c r="H158" s="841"/>
      <c r="I158" s="841"/>
      <c r="J158" s="841"/>
      <c r="K158" s="841"/>
      <c r="L158" s="841"/>
      <c r="M158" s="841"/>
      <c r="N158" s="841"/>
      <c r="O158" s="841"/>
      <c r="P158" s="841"/>
    </row>
    <row r="159" spans="1:16" ht="12.75">
      <c r="A159" s="839"/>
      <c r="B159" s="84"/>
      <c r="C159" s="95"/>
      <c r="D159" s="78"/>
      <c r="E159" s="95"/>
      <c r="F159" s="95"/>
      <c r="G159" s="95"/>
      <c r="H159" s="95"/>
      <c r="I159" s="95"/>
      <c r="J159" s="95"/>
      <c r="K159" s="95"/>
      <c r="L159" s="95"/>
      <c r="M159" s="95"/>
      <c r="N159" s="84"/>
      <c r="O159" s="92"/>
      <c r="P159" s="92"/>
    </row>
    <row r="160" spans="1:16" ht="15.75">
      <c r="A160" s="839"/>
      <c r="B160" s="91" t="s">
        <v>54</v>
      </c>
      <c r="C160" s="95"/>
      <c r="D160" s="78"/>
      <c r="E160" s="95"/>
      <c r="F160" s="95"/>
      <c r="G160" s="95"/>
      <c r="H160" s="95"/>
      <c r="I160" s="95"/>
      <c r="J160" s="95"/>
      <c r="K160" s="95"/>
      <c r="L160" s="95"/>
      <c r="M160" s="95"/>
      <c r="N160" s="84"/>
      <c r="O160" s="92"/>
      <c r="P160" s="92"/>
    </row>
    <row r="161" spans="1:21" ht="15.75" thickBot="1">
      <c r="A161" s="839"/>
      <c r="B161" s="94"/>
      <c r="C161" s="102"/>
      <c r="D161" s="78"/>
      <c r="E161" s="95"/>
      <c r="F161" s="95"/>
      <c r="G161" s="95"/>
      <c r="H161" s="95"/>
      <c r="I161" s="95"/>
      <c r="J161" s="95"/>
      <c r="K161" s="95"/>
      <c r="L161" s="95"/>
      <c r="M161" s="95"/>
      <c r="N161" s="84"/>
      <c r="O161" s="370">
        <f>U162</f>
      </c>
      <c r="P161" s="84"/>
      <c r="Q161" s="369"/>
      <c r="R161" s="369"/>
      <c r="S161" s="369"/>
      <c r="T161" s="369"/>
      <c r="U161" s="369"/>
    </row>
    <row r="162" spans="1:21" ht="23.25">
      <c r="A162" s="839"/>
      <c r="B162" s="65" t="s">
        <v>55</v>
      </c>
      <c r="C162" s="108"/>
      <c r="D162" s="79"/>
      <c r="E162" s="100">
        <f>+'CTB Form'!E52</f>
        <v>0</v>
      </c>
      <c r="F162" s="100">
        <f>+'CTB Form'!F52</f>
        <v>0</v>
      </c>
      <c r="G162" s="100">
        <f>+'CTB Form'!G52</f>
        <v>0</v>
      </c>
      <c r="H162" s="100">
        <f>+'CTB Form'!H52</f>
        <v>0</v>
      </c>
      <c r="I162" s="100">
        <f>+'CTB Form'!I52</f>
        <v>0</v>
      </c>
      <c r="J162" s="100">
        <f>+'CTB Form'!J52</f>
        <v>0</v>
      </c>
      <c r="K162" s="100">
        <f>+'CTB Form'!K52</f>
        <v>0</v>
      </c>
      <c r="L162" s="100">
        <f>+'CTB Form'!L52</f>
        <v>0</v>
      </c>
      <c r="M162" s="100">
        <f>+'CTB Form'!M52</f>
        <v>0</v>
      </c>
      <c r="N162" s="84"/>
      <c r="O162" s="800"/>
      <c r="P162" s="801"/>
      <c r="Q162" s="371">
        <f>IF(AND((SUM(E166:M166)&lt;&gt;0),O162=""),1,0)</f>
        <v>0</v>
      </c>
      <c r="R162" s="371">
        <f>IF(AND((SUM(E166:M166)=0),O162=""),0,1)</f>
        <v>0</v>
      </c>
      <c r="S162" s="371">
        <f>IF(AND((SUM(E166:M166)=0),O162&lt;&gt;""),2,0)</f>
        <v>0</v>
      </c>
      <c r="T162" s="372">
        <f>SUM(Q162:S162)</f>
        <v>0</v>
      </c>
      <c r="U162" s="371">
        <f>IF(ISNUMBER(T162)=FALSE,"please delete invalid data entry on form",IF(T162=0,"",IF(T162=1,"Reason for differences",IF(T162=3,"No reason required, please DELETE entry below",IF(T162=2,"Please enter reason for differences in appropriate cell(s) below","")))))</f>
      </c>
    </row>
    <row r="163" spans="1:21" ht="15">
      <c r="A163" s="839"/>
      <c r="B163" s="65" t="s">
        <v>108</v>
      </c>
      <c r="C163" s="108"/>
      <c r="D163" s="79"/>
      <c r="E163" s="87">
        <f>VLOOKUP('CTB Form'!$G$5,Data!$A$9:$DK$364,95,FALSE)</f>
        <v>0</v>
      </c>
      <c r="F163" s="87">
        <f>VLOOKUP('CTB Form'!$G$5,Data!$A$9:$DK$364,96,FALSE)</f>
        <v>0</v>
      </c>
      <c r="G163" s="87">
        <f>VLOOKUP('CTB Form'!$G$5,Data!$A$9:$DK$364,97,FALSE)</f>
        <v>0</v>
      </c>
      <c r="H163" s="87">
        <f>VLOOKUP('CTB Form'!$G$5,Data!$A$9:$DK$364,98,FALSE)</f>
        <v>0</v>
      </c>
      <c r="I163" s="87">
        <f>VLOOKUP('CTB Form'!$G$5,Data!$A$9:$DK$364,99,FALSE)</f>
        <v>0</v>
      </c>
      <c r="J163" s="87">
        <f>VLOOKUP('CTB Form'!$G$5,Data!$A$9:$DK$364,100,FALSE)</f>
        <v>0</v>
      </c>
      <c r="K163" s="87">
        <f>VLOOKUP('CTB Form'!$G$5,Data!$A$9:$DK$364,101,FALSE)</f>
        <v>0</v>
      </c>
      <c r="L163" s="87">
        <f>VLOOKUP('CTB Form'!$G$5,Data!$A$9:$DK$364,102,FALSE)</f>
        <v>0</v>
      </c>
      <c r="M163" s="87">
        <f>VLOOKUP('CTB Form'!$G$5,Data!$A$9:$DK$364,103,FALSE)</f>
        <v>0</v>
      </c>
      <c r="N163" s="84"/>
      <c r="O163" s="802"/>
      <c r="P163" s="803"/>
      <c r="Q163" s="369"/>
      <c r="R163" s="369"/>
      <c r="S163" s="369"/>
      <c r="T163" s="369"/>
      <c r="U163" s="369"/>
    </row>
    <row r="164" spans="1:21" ht="15">
      <c r="A164" s="839"/>
      <c r="B164" s="94"/>
      <c r="C164" s="102" t="s">
        <v>928</v>
      </c>
      <c r="D164" s="82"/>
      <c r="E164" s="93" t="str">
        <f>IF(E162+E163=0," ",IF(E163=0," ",ABS(E162-E163)/E163*100))</f>
        <v> </v>
      </c>
      <c r="F164" s="93" t="str">
        <f aca="true" t="shared" si="17" ref="F164:M164">IF(F162+F163=0," ",IF(F163=0," ",ABS(F162-F163)/F163*100))</f>
        <v> </v>
      </c>
      <c r="G164" s="93" t="str">
        <f t="shared" si="17"/>
        <v> </v>
      </c>
      <c r="H164" s="93" t="str">
        <f t="shared" si="17"/>
        <v> </v>
      </c>
      <c r="I164" s="93" t="str">
        <f t="shared" si="17"/>
        <v> </v>
      </c>
      <c r="J164" s="93" t="str">
        <f t="shared" si="17"/>
        <v> </v>
      </c>
      <c r="K164" s="93" t="str">
        <f t="shared" si="17"/>
        <v> </v>
      </c>
      <c r="L164" s="93" t="str">
        <f t="shared" si="17"/>
        <v> </v>
      </c>
      <c r="M164" s="93" t="str">
        <f t="shared" si="17"/>
        <v> </v>
      </c>
      <c r="N164" s="84"/>
      <c r="O164" s="802"/>
      <c r="P164" s="803"/>
      <c r="Q164" s="369"/>
      <c r="R164" s="369"/>
      <c r="S164" s="369"/>
      <c r="T164" s="369"/>
      <c r="U164" s="369"/>
    </row>
    <row r="165" spans="1:21" ht="15.75" thickBot="1">
      <c r="A165" s="839"/>
      <c r="B165" s="94"/>
      <c r="C165" s="102"/>
      <c r="D165" s="78"/>
      <c r="E165" s="95"/>
      <c r="F165" s="95"/>
      <c r="G165" s="95"/>
      <c r="H165" s="95"/>
      <c r="I165" s="95"/>
      <c r="J165" s="95"/>
      <c r="K165" s="95"/>
      <c r="L165" s="95"/>
      <c r="M165" s="95"/>
      <c r="N165" s="84"/>
      <c r="O165" s="802"/>
      <c r="P165" s="803"/>
      <c r="Q165" s="378"/>
      <c r="R165" s="369"/>
      <c r="S165" s="369"/>
      <c r="T165" s="369"/>
      <c r="U165" s="369"/>
    </row>
    <row r="166" spans="1:21" ht="30" customHeight="1" thickBot="1">
      <c r="A166" s="839"/>
      <c r="B166" s="80" t="str">
        <f>IF(SUM(E166:M166)=0,"Go to Test 18","Please explain the reason for the change in the yellow box on the right")</f>
        <v>Go to Test 18</v>
      </c>
      <c r="C166" s="110"/>
      <c r="D166" s="83"/>
      <c r="E166" s="74">
        <f>IF(AND(E163&gt;20,E164&gt;+Parameters!C21),E164,"")</f>
      </c>
      <c r="F166" s="74">
        <f>IF(AND(F163&gt;20,F164&gt;+Parameters!D21),F164,"")</f>
      </c>
      <c r="G166" s="74">
        <f>IF(AND(G163&gt;20,G164&gt;+Parameters!E21),G164,"")</f>
      </c>
      <c r="H166" s="74">
        <f>IF(AND(H163&gt;20,H164&gt;+Parameters!F21),H164,"")</f>
      </c>
      <c r="I166" s="74">
        <f>IF(AND(I163&gt;20,I164&gt;+Parameters!G21),I164,"")</f>
      </c>
      <c r="J166" s="74">
        <f>IF(AND(J163&gt;20,J164&gt;+Parameters!H21),J164,"")</f>
      </c>
      <c r="K166" s="74">
        <f>IF(AND(K163&gt;20,K164&gt;+Parameters!I21),K164,"")</f>
      </c>
      <c r="L166" s="74">
        <f>IF(AND(L163&gt;20,L164&gt;+Parameters!J21),L164,"")</f>
      </c>
      <c r="M166" s="74">
        <f>IF(AND(M163&gt;20,M164&gt;+Parameters!K21),M164,"")</f>
      </c>
      <c r="N166" s="84"/>
      <c r="O166" s="804"/>
      <c r="P166" s="805"/>
      <c r="Q166" s="369"/>
      <c r="R166" s="369"/>
      <c r="S166" s="369"/>
      <c r="T166" s="369"/>
      <c r="U166" s="369"/>
    </row>
    <row r="167" spans="1:21" ht="15.75" customHeight="1" thickBot="1">
      <c r="A167" s="840"/>
      <c r="B167" s="398"/>
      <c r="C167" s="380"/>
      <c r="D167" s="388"/>
      <c r="E167" s="381"/>
      <c r="F167" s="381"/>
      <c r="G167" s="381"/>
      <c r="H167" s="381"/>
      <c r="I167" s="381"/>
      <c r="J167" s="381"/>
      <c r="K167" s="381"/>
      <c r="L167" s="381"/>
      <c r="M167" s="381"/>
      <c r="N167" s="377"/>
      <c r="O167" s="806" t="s">
        <v>947</v>
      </c>
      <c r="P167" s="807"/>
      <c r="Q167" s="376"/>
      <c r="R167" s="369"/>
      <c r="S167" s="369"/>
      <c r="T167" s="369"/>
      <c r="U167" s="369"/>
    </row>
    <row r="168" spans="1:17" ht="15.75" thickTop="1">
      <c r="A168" s="830" t="s">
        <v>931</v>
      </c>
      <c r="B168" s="382"/>
      <c r="C168" s="383"/>
      <c r="D168" s="798"/>
      <c r="E168" s="841"/>
      <c r="F168" s="841"/>
      <c r="G168" s="841"/>
      <c r="H168" s="841"/>
      <c r="I168" s="841"/>
      <c r="J168" s="841"/>
      <c r="K168" s="841"/>
      <c r="L168" s="841"/>
      <c r="M168" s="841"/>
      <c r="N168" s="841"/>
      <c r="O168" s="841"/>
      <c r="P168" s="841"/>
      <c r="Q168" s="68"/>
    </row>
    <row r="169" spans="1:17" ht="15">
      <c r="A169" s="831"/>
      <c r="B169" s="94"/>
      <c r="C169" s="102"/>
      <c r="D169" s="95"/>
      <c r="E169" s="95"/>
      <c r="F169" s="95"/>
      <c r="G169" s="95"/>
      <c r="H169" s="95"/>
      <c r="I169" s="95"/>
      <c r="J169" s="95"/>
      <c r="N169" s="84"/>
      <c r="O169" s="92"/>
      <c r="P169" s="92"/>
      <c r="Q169" s="68"/>
    </row>
    <row r="170" spans="1:17" ht="15.75">
      <c r="A170" s="831"/>
      <c r="B170" s="91" t="s">
        <v>56</v>
      </c>
      <c r="C170" s="95"/>
      <c r="D170" s="95"/>
      <c r="E170" s="95"/>
      <c r="F170" s="95"/>
      <c r="G170" s="95"/>
      <c r="H170" s="95"/>
      <c r="I170" s="95"/>
      <c r="J170" s="95"/>
      <c r="K170" s="95"/>
      <c r="L170" s="95"/>
      <c r="M170" s="95"/>
      <c r="N170" s="84"/>
      <c r="O170" s="92"/>
      <c r="P170" s="92"/>
      <c r="Q170" s="68"/>
    </row>
    <row r="171" spans="1:21" ht="15.75" thickBot="1">
      <c r="A171" s="831"/>
      <c r="B171" s="94"/>
      <c r="C171" s="102"/>
      <c r="E171" s="95"/>
      <c r="F171" s="95"/>
      <c r="G171" s="95"/>
      <c r="H171" s="95"/>
      <c r="I171" s="95"/>
      <c r="J171" s="95"/>
      <c r="K171" s="95"/>
      <c r="L171" s="95"/>
      <c r="M171" s="95"/>
      <c r="N171" s="84"/>
      <c r="O171" s="370" t="str">
        <f>U172</f>
        <v>Reason for differences</v>
      </c>
      <c r="P171" s="84"/>
      <c r="Q171" s="369"/>
      <c r="R171" s="369"/>
      <c r="S171" s="369"/>
      <c r="T171" s="369"/>
      <c r="U171" s="369"/>
    </row>
    <row r="172" spans="1:21" ht="23.25">
      <c r="A172" s="831"/>
      <c r="B172" s="65" t="s">
        <v>57</v>
      </c>
      <c r="C172" s="108"/>
      <c r="E172" s="93">
        <f>+'CTB Form'!E54</f>
        <v>280</v>
      </c>
      <c r="F172" s="93">
        <f>+'CTB Form'!F54</f>
        <v>92</v>
      </c>
      <c r="G172" s="93">
        <f>+'CTB Form'!G54</f>
        <v>343</v>
      </c>
      <c r="H172" s="93">
        <f>+'CTB Form'!H54</f>
        <v>219</v>
      </c>
      <c r="I172" s="93">
        <f>+'CTB Form'!I54</f>
        <v>140</v>
      </c>
      <c r="J172" s="93">
        <f>+'CTB Form'!J54</f>
        <v>42</v>
      </c>
      <c r="K172" s="93">
        <f>+'CTB Form'!K54</f>
        <v>38</v>
      </c>
      <c r="L172" s="93">
        <f>+'CTB Form'!L54</f>
        <v>8</v>
      </c>
      <c r="M172" s="93">
        <f>+'CTB Form'!M54</f>
        <v>1162</v>
      </c>
      <c r="N172" s="84"/>
      <c r="O172" s="800" t="s">
        <v>1041</v>
      </c>
      <c r="P172" s="801"/>
      <c r="Q172" s="371">
        <f>IF(AND((SUM(E176:M176)&lt;&gt;0),O172=""),1,0)</f>
        <v>0</v>
      </c>
      <c r="R172" s="371">
        <f>IF(AND((SUM(E176:M176)=0),O172=""),0,1)</f>
        <v>1</v>
      </c>
      <c r="S172" s="371">
        <f>IF(AND((SUM(E176:M176)=0),O172&lt;&gt;""),2,0)</f>
        <v>0</v>
      </c>
      <c r="T172" s="372">
        <f>SUM(Q172:S172)</f>
        <v>1</v>
      </c>
      <c r="U172" s="371" t="str">
        <f>IF(ISNUMBER(T172)=FALSE,"please delete invalid data entry on form",IF(T172=0,"",IF(T172=1,"Reason for differences",IF(T172=3,"No reason required, please DELETE entry below",IF(T172=2,"Please enter reason for differences in appropriate cell(s) below","")))))</f>
        <v>Reason for differences</v>
      </c>
    </row>
    <row r="173" spans="1:21" ht="15">
      <c r="A173" s="831"/>
      <c r="B173" s="65" t="s">
        <v>109</v>
      </c>
      <c r="C173" s="108"/>
      <c r="E173" s="87">
        <f>VLOOKUP('CTB Form'!$G$5,Data!$A$9:$DK$364,105,FALSE)</f>
        <v>212</v>
      </c>
      <c r="F173" s="87">
        <f>VLOOKUP('CTB Form'!$G$5,Data!$A$9:$DK$364,106,FALSE)</f>
        <v>134</v>
      </c>
      <c r="G173" s="87">
        <f>VLOOKUP('CTB Form'!$G$5,Data!$A$9:$DK$364,107,FALSE)</f>
        <v>359</v>
      </c>
      <c r="H173" s="87">
        <f>VLOOKUP('CTB Form'!$G$5,Data!$A$9:$DK$364,108,FALSE)</f>
        <v>239</v>
      </c>
      <c r="I173" s="87">
        <f>VLOOKUP('CTB Form'!$G$5,Data!$A$9:$DK$364,109,FALSE)</f>
        <v>165</v>
      </c>
      <c r="J173" s="87">
        <f>VLOOKUP('CTB Form'!$G$5,Data!$A$9:$DK$364,110,FALSE)</f>
        <v>60</v>
      </c>
      <c r="K173" s="87">
        <f>VLOOKUP('CTB Form'!$G$5,Data!$A$9:$DK$364,111,FALSE)</f>
        <v>37</v>
      </c>
      <c r="L173" s="87">
        <f>VLOOKUP('CTB Form'!$G$5,Data!$A$9:$DK$364,112,FALSE)</f>
        <v>8</v>
      </c>
      <c r="M173" s="87">
        <f>VLOOKUP('CTB Form'!$G$5,Data!$A$9:$DK$364,113,FALSE)</f>
        <v>1214</v>
      </c>
      <c r="N173" s="84"/>
      <c r="O173" s="802"/>
      <c r="P173" s="803"/>
      <c r="Q173" s="369"/>
      <c r="R173" s="369"/>
      <c r="S173" s="369"/>
      <c r="T173" s="369"/>
      <c r="U173" s="369"/>
    </row>
    <row r="174" spans="1:21" ht="15">
      <c r="A174" s="831"/>
      <c r="B174" s="94"/>
      <c r="C174" s="102" t="s">
        <v>928</v>
      </c>
      <c r="E174" s="93">
        <f>IF(E172+E173=0," ",IF(E173=0," ",ABS(E172-E173)/E173*100))</f>
        <v>32.075471698113205</v>
      </c>
      <c r="F174" s="93">
        <f aca="true" t="shared" si="18" ref="F174:M174">IF(F172+F173=0," ",IF(F173=0," ",ABS(F172-F173)/F173*100))</f>
        <v>31.343283582089555</v>
      </c>
      <c r="G174" s="93">
        <f t="shared" si="18"/>
        <v>4.456824512534819</v>
      </c>
      <c r="H174" s="93">
        <f t="shared" si="18"/>
        <v>8.368200836820083</v>
      </c>
      <c r="I174" s="93">
        <f t="shared" si="18"/>
        <v>15.151515151515152</v>
      </c>
      <c r="J174" s="93">
        <f t="shared" si="18"/>
        <v>30</v>
      </c>
      <c r="K174" s="93">
        <f t="shared" si="18"/>
        <v>2.7027027027027026</v>
      </c>
      <c r="L174" s="93">
        <f t="shared" si="18"/>
        <v>0</v>
      </c>
      <c r="M174" s="93">
        <f t="shared" si="18"/>
        <v>4.2833607907743</v>
      </c>
      <c r="N174" s="84"/>
      <c r="O174" s="802"/>
      <c r="P174" s="803"/>
      <c r="Q174" s="369"/>
      <c r="R174" s="369"/>
      <c r="S174" s="369"/>
      <c r="T174" s="369"/>
      <c r="U174" s="369"/>
    </row>
    <row r="175" spans="1:21" ht="15.75" thickBot="1">
      <c r="A175" s="831"/>
      <c r="B175" s="94"/>
      <c r="C175" s="102"/>
      <c r="E175" s="95"/>
      <c r="F175" s="95"/>
      <c r="G175" s="95"/>
      <c r="H175" s="95"/>
      <c r="I175" s="95"/>
      <c r="J175" s="95"/>
      <c r="K175" s="95"/>
      <c r="L175" s="95"/>
      <c r="M175" s="95"/>
      <c r="N175" s="84"/>
      <c r="O175" s="802"/>
      <c r="P175" s="803"/>
      <c r="Q175" s="378"/>
      <c r="R175" s="369"/>
      <c r="S175" s="369"/>
      <c r="T175" s="369"/>
      <c r="U175" s="369"/>
    </row>
    <row r="176" spans="1:21" ht="30" customHeight="1" thickBot="1">
      <c r="A176" s="831"/>
      <c r="B176" s="80" t="str">
        <f>IF(SUM(E176:M176)=0,"Go to Test 19","Please explain the reason for the change in the yellow box on the right")</f>
        <v>Please explain the reason for the change in the yellow box on the right</v>
      </c>
      <c r="C176" s="110"/>
      <c r="E176" s="74">
        <f>IF(AND(E173&gt;20,E174&gt;+Parameters!C22),E174,"")</f>
        <v>32.075471698113205</v>
      </c>
      <c r="F176" s="74">
        <f>IF(AND(F173&gt;20,F174&gt;+Parameters!D22),F174,"")</f>
        <v>31.343283582089555</v>
      </c>
      <c r="G176" s="74">
        <f>IF(AND(G173&gt;20,G174&gt;+Parameters!E22),G174,"")</f>
      </c>
      <c r="H176" s="74">
        <f>IF(AND(H173&gt;20,H174&gt;+Parameters!F22),H174,"")</f>
      </c>
      <c r="I176" s="74">
        <f>IF(AND(I173&gt;20,I174&gt;+Parameters!G22),I174,"")</f>
      </c>
      <c r="J176" s="74">
        <f>IF(AND(J173&gt;20,J174&gt;+Parameters!H22),J174,"")</f>
        <v>30</v>
      </c>
      <c r="K176" s="74">
        <f>IF(AND(K173&gt;20,K174&gt;+Parameters!I22),K174,"")</f>
      </c>
      <c r="L176" s="74">
        <f>IF(AND(L173&gt;20,L174&gt;+Parameters!J22),L174,"")</f>
      </c>
      <c r="M176" s="74">
        <f>IF(AND(M173&gt;20,M174&gt;+Parameters!K22),M174,"")</f>
      </c>
      <c r="N176" s="84"/>
      <c r="O176" s="804"/>
      <c r="P176" s="805"/>
      <c r="Q176" s="369"/>
      <c r="R176" s="369"/>
      <c r="S176" s="369"/>
      <c r="T176" s="369"/>
      <c r="U176" s="369"/>
    </row>
    <row r="177" spans="1:21" ht="15.75" customHeight="1" thickBot="1">
      <c r="A177" s="832"/>
      <c r="B177" s="398"/>
      <c r="C177" s="380"/>
      <c r="E177" s="377"/>
      <c r="F177" s="377"/>
      <c r="G177" s="377"/>
      <c r="H177" s="377"/>
      <c r="I177" s="377"/>
      <c r="J177" s="377"/>
      <c r="K177" s="377"/>
      <c r="L177" s="377"/>
      <c r="M177" s="377"/>
      <c r="N177" s="377"/>
      <c r="O177" s="806" t="s">
        <v>947</v>
      </c>
      <c r="P177" s="807"/>
      <c r="Q177" s="376"/>
      <c r="R177" s="369"/>
      <c r="S177" s="369"/>
      <c r="T177" s="369"/>
      <c r="U177" s="369"/>
    </row>
    <row r="178" spans="1:17" ht="15.75" thickTop="1">
      <c r="A178" s="836" t="s">
        <v>923</v>
      </c>
      <c r="B178" s="382"/>
      <c r="C178" s="383"/>
      <c r="D178" s="798"/>
      <c r="E178" s="841"/>
      <c r="F178" s="841"/>
      <c r="G178" s="841"/>
      <c r="H178" s="841"/>
      <c r="I178" s="841"/>
      <c r="J178" s="841"/>
      <c r="K178" s="841"/>
      <c r="L178" s="841"/>
      <c r="M178" s="841"/>
      <c r="N178" s="841"/>
      <c r="O178" s="841"/>
      <c r="P178" s="841"/>
      <c r="Q178" s="68"/>
    </row>
    <row r="179" spans="1:16" ht="12.75">
      <c r="A179" s="839"/>
      <c r="B179" s="84"/>
      <c r="C179" s="95"/>
      <c r="D179" s="84"/>
      <c r="E179" s="84"/>
      <c r="F179" s="84"/>
      <c r="G179" s="84"/>
      <c r="H179" s="84"/>
      <c r="I179" s="84"/>
      <c r="J179" s="84"/>
      <c r="K179" s="84"/>
      <c r="L179" s="84"/>
      <c r="M179" s="84"/>
      <c r="N179" s="84"/>
      <c r="O179" s="92"/>
      <c r="P179" s="92"/>
    </row>
    <row r="180" spans="1:16" ht="15.75">
      <c r="A180" s="839"/>
      <c r="B180" s="91" t="s">
        <v>897</v>
      </c>
      <c r="C180" s="229"/>
      <c r="D180" s="230"/>
      <c r="E180" s="230"/>
      <c r="F180" s="230"/>
      <c r="G180" s="230"/>
      <c r="H180" s="230"/>
      <c r="I180" s="230"/>
      <c r="J180" s="230"/>
      <c r="K180" s="84"/>
      <c r="L180" s="84"/>
      <c r="M180" s="84"/>
      <c r="N180" s="84"/>
      <c r="O180" s="92"/>
      <c r="P180" s="92"/>
    </row>
    <row r="181" spans="1:21" ht="15.75" thickBot="1">
      <c r="A181" s="839"/>
      <c r="B181" s="94"/>
      <c r="C181" s="102"/>
      <c r="D181" s="84"/>
      <c r="E181" s="84"/>
      <c r="F181" s="84"/>
      <c r="G181" s="84"/>
      <c r="H181" s="84"/>
      <c r="I181" s="84"/>
      <c r="J181" s="84"/>
      <c r="K181" s="84"/>
      <c r="L181" s="84"/>
      <c r="M181" s="114"/>
      <c r="N181" s="84"/>
      <c r="O181" s="370">
        <f>U182</f>
      </c>
      <c r="P181" s="84"/>
      <c r="Q181" s="369"/>
      <c r="R181" s="369"/>
      <c r="S181" s="369"/>
      <c r="T181" s="369"/>
      <c r="U181" s="369"/>
    </row>
    <row r="182" spans="1:21" ht="23.25">
      <c r="A182" s="839"/>
      <c r="B182" s="65" t="s">
        <v>58</v>
      </c>
      <c r="C182" s="108"/>
      <c r="D182" s="101"/>
      <c r="E182" s="84"/>
      <c r="F182" s="84"/>
      <c r="G182" s="84"/>
      <c r="H182" s="84"/>
      <c r="I182" s="84"/>
      <c r="J182" s="84"/>
      <c r="K182" s="84"/>
      <c r="L182" s="84"/>
      <c r="M182" s="115">
        <f>+'CTB Form'!M64</f>
        <v>0</v>
      </c>
      <c r="N182" s="84"/>
      <c r="O182" s="800"/>
      <c r="P182" s="801"/>
      <c r="Q182" s="371">
        <f>IF(AND((SUM(E186:M186)&lt;&gt;0),O182=""),1,0)</f>
        <v>0</v>
      </c>
      <c r="R182" s="371">
        <f>IF(AND((SUM(E186:M186)=0),O182=""),0,1)</f>
        <v>0</v>
      </c>
      <c r="S182" s="371">
        <f>IF(AND((SUM(E186:M186)=0),O182&lt;&gt;""),2,0)</f>
        <v>0</v>
      </c>
      <c r="T182" s="372">
        <f>SUM(Q182:S182)</f>
        <v>0</v>
      </c>
      <c r="U182" s="371">
        <f>IF(ISNUMBER(T182)=FALSE,"please delete invalid data entry on form",IF(T182=0,"",IF(T182=1,"Reason for differences",IF(T182=3,"No reason required, please DELETE entry below",IF(T182=2,"Please enter reason for differences in appropriate cell(s) below","")))))</f>
      </c>
    </row>
    <row r="183" spans="1:21" ht="15">
      <c r="A183" s="839"/>
      <c r="B183" s="65" t="s">
        <v>896</v>
      </c>
      <c r="C183" s="108"/>
      <c r="D183" s="84"/>
      <c r="E183" s="84"/>
      <c r="F183" s="84"/>
      <c r="G183" s="84"/>
      <c r="H183" s="84"/>
      <c r="I183" s="84"/>
      <c r="J183" s="84"/>
      <c r="K183" s="84"/>
      <c r="L183" s="84"/>
      <c r="M183" s="116">
        <f>VLOOKUP('CTB Form'!$G$5,Data!$A$9:$DK$364,114,FALSE)</f>
        <v>0</v>
      </c>
      <c r="N183" s="84"/>
      <c r="O183" s="802"/>
      <c r="P183" s="803"/>
      <c r="Q183" s="369"/>
      <c r="R183" s="369"/>
      <c r="S183" s="369"/>
      <c r="T183" s="369"/>
      <c r="U183" s="369"/>
    </row>
    <row r="184" spans="1:21" ht="15">
      <c r="A184" s="839"/>
      <c r="B184" s="94"/>
      <c r="C184" s="95"/>
      <c r="D184" s="84"/>
      <c r="E184" s="84"/>
      <c r="F184" s="84"/>
      <c r="G184" s="84"/>
      <c r="H184" s="84"/>
      <c r="I184" s="84"/>
      <c r="J184" s="84"/>
      <c r="K184" s="84"/>
      <c r="L184" s="102" t="s">
        <v>928</v>
      </c>
      <c r="M184" s="100" t="str">
        <f>IF(M182+M183=0," ",IF(E183=0," ",ABS(M182-M183)/M183*100))</f>
        <v> </v>
      </c>
      <c r="N184" s="84"/>
      <c r="O184" s="802"/>
      <c r="P184" s="803"/>
      <c r="Q184" s="369"/>
      <c r="R184" s="369"/>
      <c r="S184" s="369"/>
      <c r="T184" s="369"/>
      <c r="U184" s="369"/>
    </row>
    <row r="185" spans="1:21" ht="15.75" thickBot="1">
      <c r="A185" s="839"/>
      <c r="B185" s="94"/>
      <c r="C185" s="102"/>
      <c r="D185" s="84"/>
      <c r="E185" s="84"/>
      <c r="F185" s="84"/>
      <c r="G185" s="84"/>
      <c r="H185" s="84"/>
      <c r="I185" s="84"/>
      <c r="J185" s="84"/>
      <c r="K185" s="84"/>
      <c r="L185" s="84"/>
      <c r="M185" s="114"/>
      <c r="N185" s="84"/>
      <c r="O185" s="802"/>
      <c r="P185" s="803"/>
      <c r="Q185" s="378"/>
      <c r="R185" s="369"/>
      <c r="S185" s="369"/>
      <c r="T185" s="369"/>
      <c r="U185" s="369"/>
    </row>
    <row r="186" spans="1:21" ht="30" customHeight="1" thickBot="1">
      <c r="A186" s="839"/>
      <c r="B186" s="80" t="str">
        <f>IF(SUM(E186:M186)=0,"Go to Test 20","Please explain the reason for the change in the yellow box on the right")</f>
        <v>Go to Test 20</v>
      </c>
      <c r="C186" s="110"/>
      <c r="D186" s="69"/>
      <c r="E186" s="69"/>
      <c r="F186" s="69"/>
      <c r="G186" s="69"/>
      <c r="H186" s="69"/>
      <c r="I186" s="69"/>
      <c r="J186" s="69"/>
      <c r="K186" s="69"/>
      <c r="L186" s="69"/>
      <c r="M186" s="66">
        <f>IF(AND(M183&gt;20,M184&gt;+Parameters!K23),M184,"")</f>
      </c>
      <c r="N186" s="84"/>
      <c r="O186" s="804"/>
      <c r="P186" s="805"/>
      <c r="Q186" s="369"/>
      <c r="R186" s="369"/>
      <c r="S186" s="369"/>
      <c r="T186" s="369"/>
      <c r="U186" s="369"/>
    </row>
    <row r="187" spans="1:21" ht="15.75" customHeight="1" thickBot="1">
      <c r="A187" s="840"/>
      <c r="B187" s="377"/>
      <c r="C187" s="381"/>
      <c r="D187" s="377"/>
      <c r="E187" s="377"/>
      <c r="F187" s="377"/>
      <c r="G187" s="377"/>
      <c r="H187" s="377"/>
      <c r="I187" s="377"/>
      <c r="J187" s="377"/>
      <c r="K187" s="377"/>
      <c r="L187" s="377"/>
      <c r="M187" s="377"/>
      <c r="N187" s="377"/>
      <c r="O187" s="806" t="s">
        <v>947</v>
      </c>
      <c r="P187" s="807"/>
      <c r="Q187" s="369"/>
      <c r="R187" s="369"/>
      <c r="S187" s="369"/>
      <c r="T187" s="369"/>
      <c r="U187" s="369"/>
    </row>
    <row r="188" spans="1:16" s="64" customFormat="1" ht="13.5" thickTop="1">
      <c r="A188" s="830" t="s">
        <v>952</v>
      </c>
      <c r="B188" s="68"/>
      <c r="C188" s="78"/>
      <c r="D188" s="798"/>
      <c r="E188" s="799"/>
      <c r="F188" s="799"/>
      <c r="G188" s="799"/>
      <c r="H188" s="799"/>
      <c r="I188" s="799"/>
      <c r="J188" s="799"/>
      <c r="K188" s="799"/>
      <c r="L188" s="799"/>
      <c r="M188" s="799"/>
      <c r="N188" s="799"/>
      <c r="O188" s="799"/>
      <c r="P188" s="799"/>
    </row>
    <row r="189" spans="1:16" s="64" customFormat="1" ht="12.75">
      <c r="A189" s="831"/>
      <c r="B189" s="68"/>
      <c r="C189" s="78"/>
      <c r="D189" s="68"/>
      <c r="E189" s="68"/>
      <c r="F189" s="68"/>
      <c r="G189" s="68"/>
      <c r="H189" s="68"/>
      <c r="I189" s="68"/>
      <c r="J189" s="68"/>
      <c r="K189" s="68"/>
      <c r="L189" s="68"/>
      <c r="M189" s="68"/>
      <c r="N189" s="68"/>
      <c r="O189" s="70"/>
      <c r="P189" s="70"/>
    </row>
    <row r="190" spans="1:16" s="64" customFormat="1" ht="15.75">
      <c r="A190" s="831"/>
      <c r="B190" s="63" t="s">
        <v>62</v>
      </c>
      <c r="C190" s="78"/>
      <c r="D190" s="68"/>
      <c r="E190" s="68"/>
      <c r="F190" s="68"/>
      <c r="G190" s="68"/>
      <c r="H190" s="68"/>
      <c r="I190" s="68"/>
      <c r="J190" s="68"/>
      <c r="K190" s="68"/>
      <c r="L190" s="68"/>
      <c r="M190" s="68"/>
      <c r="N190" s="68"/>
      <c r="O190" s="70"/>
      <c r="P190" s="70"/>
    </row>
    <row r="191" spans="1:21" s="64" customFormat="1" ht="15.75" thickBot="1">
      <c r="A191" s="831"/>
      <c r="B191" s="65"/>
      <c r="C191" s="108"/>
      <c r="D191" s="68"/>
      <c r="E191" s="68"/>
      <c r="F191" s="68"/>
      <c r="G191" s="68"/>
      <c r="H191" s="68"/>
      <c r="I191" s="68"/>
      <c r="J191" s="68"/>
      <c r="K191" s="68"/>
      <c r="L191" s="68"/>
      <c r="M191" s="68"/>
      <c r="N191" s="68"/>
      <c r="O191" s="370">
        <f>U192</f>
      </c>
      <c r="P191" s="84"/>
      <c r="Q191" s="369"/>
      <c r="R191" s="369"/>
      <c r="S191" s="369"/>
      <c r="T191" s="369"/>
      <c r="U191" s="369"/>
    </row>
    <row r="192" spans="1:21" s="64" customFormat="1" ht="23.25">
      <c r="A192" s="831"/>
      <c r="B192" s="65" t="s">
        <v>59</v>
      </c>
      <c r="C192" s="108"/>
      <c r="D192" s="103"/>
      <c r="E192" s="68"/>
      <c r="F192" s="68"/>
      <c r="G192" s="68"/>
      <c r="H192" s="68"/>
      <c r="I192" s="68"/>
      <c r="J192" s="68"/>
      <c r="K192" s="68"/>
      <c r="L192" s="68"/>
      <c r="M192" s="104">
        <f>+'CTB Form'!M66</f>
        <v>96537.6</v>
      </c>
      <c r="N192" s="68"/>
      <c r="O192" s="800"/>
      <c r="P192" s="801"/>
      <c r="Q192" s="371">
        <f>IF(AND((SUM(E196:M196)&lt;&gt;0),O192=""),1,0)</f>
        <v>0</v>
      </c>
      <c r="R192" s="371">
        <f>IF(AND((SUM(E196:M196)=0),O192=""),0,1)</f>
        <v>0</v>
      </c>
      <c r="S192" s="371">
        <f>IF(AND((SUM(E196:M196)=0),O192&lt;&gt;""),2,0)</f>
        <v>0</v>
      </c>
      <c r="T192" s="372">
        <f>SUM(Q192:S192)</f>
        <v>0</v>
      </c>
      <c r="U192" s="371">
        <f>IF(ISNUMBER(T192)=FALSE,"please delete invalid data entry on form",IF(T192=0,"",IF(T192=1,"Reason for differences",IF(T192=3,"No reason required, please DELETE entry below",IF(T192=2,"Please enter reason for differences in appropriate cell(s) below","")))))</f>
      </c>
    </row>
    <row r="193" spans="1:21" s="64" customFormat="1" ht="15">
      <c r="A193" s="831"/>
      <c r="B193" s="65" t="s">
        <v>110</v>
      </c>
      <c r="C193" s="108"/>
      <c r="D193" s="68"/>
      <c r="E193" s="68"/>
      <c r="F193" s="68"/>
      <c r="G193" s="68"/>
      <c r="H193" s="68"/>
      <c r="I193" s="68"/>
      <c r="J193" s="68"/>
      <c r="K193" s="68"/>
      <c r="L193" s="68"/>
      <c r="M193" s="87">
        <f>VLOOKUP('CTB Form'!$G$5,Data!$A$9:$DK$364,115,FALSE)</f>
        <v>95926.3</v>
      </c>
      <c r="N193" s="68"/>
      <c r="O193" s="802"/>
      <c r="P193" s="803"/>
      <c r="Q193" s="369"/>
      <c r="R193" s="369"/>
      <c r="S193" s="369"/>
      <c r="T193" s="369"/>
      <c r="U193" s="369"/>
    </row>
    <row r="194" spans="1:21" s="64" customFormat="1" ht="15">
      <c r="A194" s="831"/>
      <c r="B194" s="65"/>
      <c r="C194" s="78"/>
      <c r="D194" s="68"/>
      <c r="E194" s="68"/>
      <c r="F194" s="68"/>
      <c r="G194" s="68"/>
      <c r="H194" s="68"/>
      <c r="I194" s="68"/>
      <c r="J194" s="68"/>
      <c r="K194" s="68"/>
      <c r="L194" s="102" t="s">
        <v>928</v>
      </c>
      <c r="M194" s="93">
        <f>IF(M192+M193=0," ",ABS(M192-M193)/M193*100)</f>
        <v>0.6372600631943511</v>
      </c>
      <c r="N194" s="68"/>
      <c r="O194" s="802"/>
      <c r="P194" s="803"/>
      <c r="Q194" s="369"/>
      <c r="R194" s="369"/>
      <c r="S194" s="369"/>
      <c r="T194" s="369"/>
      <c r="U194" s="369"/>
    </row>
    <row r="195" spans="1:21" s="64" customFormat="1" ht="15.75" thickBot="1">
      <c r="A195" s="831"/>
      <c r="B195" s="65"/>
      <c r="C195" s="108"/>
      <c r="D195" s="68"/>
      <c r="E195" s="68"/>
      <c r="F195" s="68"/>
      <c r="G195" s="68"/>
      <c r="H195" s="68"/>
      <c r="I195" s="68"/>
      <c r="J195" s="68"/>
      <c r="K195" s="68"/>
      <c r="L195" s="68"/>
      <c r="M195" s="68"/>
      <c r="N195" s="68"/>
      <c r="O195" s="802"/>
      <c r="P195" s="803"/>
      <c r="Q195" s="378"/>
      <c r="R195" s="369"/>
      <c r="S195" s="369"/>
      <c r="T195" s="369"/>
      <c r="U195" s="369"/>
    </row>
    <row r="196" spans="1:21" s="64" customFormat="1" ht="30" customHeight="1" thickBot="1">
      <c r="A196" s="831"/>
      <c r="B196" s="80">
        <f>IF(+M196="","","Please explain the reason for the change in the yellow box on the right")</f>
      </c>
      <c r="C196" s="112"/>
      <c r="D196" s="68"/>
      <c r="E196" s="68"/>
      <c r="F196" s="68"/>
      <c r="G196" s="68"/>
      <c r="H196" s="68"/>
      <c r="I196" s="68"/>
      <c r="J196" s="68"/>
      <c r="K196" s="68"/>
      <c r="L196" s="68"/>
      <c r="M196" s="66">
        <f>IF(+M192+M193=0,"",IF(ABS(M194)&gt;+Parameters!K24,M194,""))</f>
      </c>
      <c r="N196" s="68"/>
      <c r="O196" s="804"/>
      <c r="P196" s="805"/>
      <c r="Q196" s="369"/>
      <c r="R196" s="369"/>
      <c r="S196" s="369"/>
      <c r="T196" s="369"/>
      <c r="U196" s="369"/>
    </row>
    <row r="197" spans="1:21" ht="15.75" customHeight="1" thickBot="1">
      <c r="A197" s="832"/>
      <c r="O197" s="806" t="s">
        <v>947</v>
      </c>
      <c r="P197" s="807"/>
      <c r="Q197" s="369"/>
      <c r="R197" s="369"/>
      <c r="S197" s="369"/>
      <c r="T197" s="369"/>
      <c r="U197" s="369"/>
    </row>
    <row r="198" ht="13.5" thickTop="1"/>
  </sheetData>
  <sheetProtection/>
  <mergeCells count="70">
    <mergeCell ref="A168:A177"/>
    <mergeCell ref="O177:P177"/>
    <mergeCell ref="A178:A187"/>
    <mergeCell ref="O187:P187"/>
    <mergeCell ref="O172:P176"/>
    <mergeCell ref="D168:P168"/>
    <mergeCell ref="D178:P178"/>
    <mergeCell ref="O182:P186"/>
    <mergeCell ref="A149:A157"/>
    <mergeCell ref="A158:A167"/>
    <mergeCell ref="O167:P167"/>
    <mergeCell ref="D149:P149"/>
    <mergeCell ref="D158:P158"/>
    <mergeCell ref="O162:P166"/>
    <mergeCell ref="O152:P156"/>
    <mergeCell ref="O157:P157"/>
    <mergeCell ref="A112:A129"/>
    <mergeCell ref="O140:P140"/>
    <mergeCell ref="O148:P148"/>
    <mergeCell ref="A130:A148"/>
    <mergeCell ref="O135:P139"/>
    <mergeCell ref="O143:P147"/>
    <mergeCell ref="O124:P128"/>
    <mergeCell ref="O121:P121"/>
    <mergeCell ref="D130:P130"/>
    <mergeCell ref="O129:P129"/>
    <mergeCell ref="A38:A55"/>
    <mergeCell ref="O50:P54"/>
    <mergeCell ref="O47:P47"/>
    <mergeCell ref="A188:A197"/>
    <mergeCell ref="O197:P197"/>
    <mergeCell ref="A84:A93"/>
    <mergeCell ref="O103:P103"/>
    <mergeCell ref="O111:P111"/>
    <mergeCell ref="A94:A111"/>
    <mergeCell ref="O192:P196"/>
    <mergeCell ref="A56:A83"/>
    <mergeCell ref="O18:P18"/>
    <mergeCell ref="B18:M19"/>
    <mergeCell ref="O29:P29"/>
    <mergeCell ref="A20:A37"/>
    <mergeCell ref="O60:P64"/>
    <mergeCell ref="O70:P74"/>
    <mergeCell ref="O78:P82"/>
    <mergeCell ref="O55:P55"/>
    <mergeCell ref="O65:P65"/>
    <mergeCell ref="A5:P6"/>
    <mergeCell ref="O13:P17"/>
    <mergeCell ref="A3:M3"/>
    <mergeCell ref="A4:M4"/>
    <mergeCell ref="A9:A19"/>
    <mergeCell ref="D9:P9"/>
    <mergeCell ref="D94:P94"/>
    <mergeCell ref="D112:P112"/>
    <mergeCell ref="O32:P36"/>
    <mergeCell ref="O24:P28"/>
    <mergeCell ref="O42:P46"/>
    <mergeCell ref="O37:P37"/>
    <mergeCell ref="O83:P83"/>
    <mergeCell ref="O75:P75"/>
    <mergeCell ref="D188:P188"/>
    <mergeCell ref="D20:P20"/>
    <mergeCell ref="D38:P38"/>
    <mergeCell ref="D56:P56"/>
    <mergeCell ref="D84:P84"/>
    <mergeCell ref="O98:P102"/>
    <mergeCell ref="O88:P92"/>
    <mergeCell ref="O106:P110"/>
    <mergeCell ref="O116:P120"/>
    <mergeCell ref="O93:P93"/>
  </mergeCells>
  <conditionalFormatting sqref="O12 O31 O23 O41 O49 O59 O69 O77 O87 O97 O105 O115 O123 O134 O142 O151 O161 O171 O181 O191">
    <cfRule type="expression" priority="1" dxfId="13" stopIfTrue="1">
      <formula>T13=2</formula>
    </cfRule>
    <cfRule type="expression" priority="2" dxfId="13" stopIfTrue="1">
      <formula>T13=3</formula>
    </cfRule>
  </conditionalFormatting>
  <conditionalFormatting sqref="P19 P30 P48 P76 P66 P86 P104 P122">
    <cfRule type="expression" priority="3" dxfId="14" stopIfTrue="1">
      <formula>T14=1</formula>
    </cfRule>
  </conditionalFormatting>
  <conditionalFormatting sqref="O13:P17 O32:P36 O24:P28 O42:P46 O50:P54 O60:P64 O70:P74 O78:P82 O88:P92 O98:P102 O106:P110 O116:P120 O124:P128 O135:P139 O143:P147 O152:P156 O162:P166 O172:P176 O182:P186 O192:P196">
    <cfRule type="expression" priority="4" dxfId="15" stopIfTrue="1">
      <formula>T13=0</formula>
    </cfRule>
    <cfRule type="expression" priority="5" dxfId="16" stopIfTrue="1">
      <formula>T13=3</formula>
    </cfRule>
    <cfRule type="expression" priority="6" dxfId="2" stopIfTrue="1">
      <formula>T13=2</formula>
    </cfRule>
  </conditionalFormatting>
  <conditionalFormatting sqref="O18:P18 O29:P29 O37:P37 O55:P55 O47:P47 O65:P65 O75:P75 O83:P83 O93:P93 O177:P177 O103:P103 O111:P111 O121:P121 O129:P129 O140:P140 O148:P148 O157:P157 O167:P167 O187:P187 O197:P197">
    <cfRule type="expression" priority="7" dxfId="17" stopIfTrue="1">
      <formula>T13=2</formula>
    </cfRule>
    <cfRule type="expression" priority="8" dxfId="18" stopIfTrue="1">
      <formula>T13=3</formula>
    </cfRule>
  </conditionalFormatting>
  <hyperlinks>
    <hyperlink ref="O18" location="'CTB Form'!E28" display="Click here to return to next line of form"/>
    <hyperlink ref="O18:P18" location="'CTB Form'!A23" display="Click here to return to form"/>
    <hyperlink ref="O29" location="'CTB Form'!E28" display="Click here to return to next line of form"/>
    <hyperlink ref="O29:P29" location="'CTB Form'!A23" display="Click here to return to form"/>
    <hyperlink ref="O37" location="'CTB Form'!E28" display="Click here to return to next line of form"/>
    <hyperlink ref="O37:P37" location="'CTB Form'!A23" display="Click here to return to form"/>
    <hyperlink ref="O47" location="'CTB Form'!E28" display="Click here to return to next line of form"/>
    <hyperlink ref="O47:P47" location="'CTB Form'!A23" display="Click here to return to form"/>
    <hyperlink ref="O55" location="'CTB Form'!E28" display="Click here to return to next line of form"/>
    <hyperlink ref="O55:P55" location="'CTB Form'!A23" display="Click here to return to form"/>
    <hyperlink ref="O65" location="'CTB Form'!E28" display="Click here to return to next line of form"/>
    <hyperlink ref="O65:P65" location="'CTB Form'!A23" display="Click here to return to form"/>
    <hyperlink ref="O75" location="'CTB Form'!E28" display="Click here to return to next line of form"/>
    <hyperlink ref="O75:P75" location="'CTB Form'!A23" display="Click here to return to form"/>
    <hyperlink ref="O83" location="'CTB Form'!E28" display="Click here to return to next line of form"/>
    <hyperlink ref="O83:P83" location="'CTB Form'!A23" display="Click here to return to form"/>
    <hyperlink ref="O93" location="'CTB Form'!E28" display="Click here to return to next line of form"/>
    <hyperlink ref="O93:P93" location="'CTB Form'!A23" display="Click here to return to form"/>
    <hyperlink ref="O103" location="'CTB Form'!E28" display="Click here to return to next line of form"/>
    <hyperlink ref="O103:P103" location="'CTB Form'!A42" display="Click here to return to form"/>
    <hyperlink ref="O111" location="'CTB Form'!E28" display="Click here to return to next line of form"/>
    <hyperlink ref="O111:P111" location="'CTB Form'!A42" display="Click here to return to form"/>
    <hyperlink ref="O121" location="'CTB Form'!E28" display="Click here to return to next line of form"/>
    <hyperlink ref="O121:P121" location="'CTB Form'!A42" display="Click here to return to form"/>
    <hyperlink ref="O129" location="'CTB Form'!E28" display="Click here to return to next line of form"/>
    <hyperlink ref="O129:P129" location="'CTB Form'!A42" display="Click here to return to form"/>
    <hyperlink ref="O140" location="'CTB Form'!E28" display="Click here to return to next line of form"/>
    <hyperlink ref="O140:P140" location="'CTB Form'!A42" display="Click here to return to form"/>
    <hyperlink ref="O148" location="'CTB Form'!E28" display="Click here to return to next line of form"/>
    <hyperlink ref="O148:P148" location="'CTB Form'!A42" display="Click here to return to form"/>
    <hyperlink ref="O157" location="'CTB Form'!E28" display="Click here to return to next line of form"/>
    <hyperlink ref="O157:P157" location="'CTB Form'!A42" display="Click here to return to form"/>
    <hyperlink ref="O167" location="'CTB Form'!E28" display="Click here to return to next line of form"/>
    <hyperlink ref="O167:P167" location="'CTB Form'!A42" display="Click here to return to form"/>
    <hyperlink ref="O177" location="'CTB Form'!E28" display="Click here to return to next line of form"/>
    <hyperlink ref="O177:P177" location="'CTB Form'!A54" display="Click here to return to form"/>
    <hyperlink ref="O187" location="'CTB Form'!E28" display="Click here to return to next line of form"/>
    <hyperlink ref="O187:P187" location="'CTB Form'!A54" display="Click here to return to form"/>
    <hyperlink ref="O197" location="'CTB Form'!E28" display="Click here to return to next line of form"/>
    <hyperlink ref="O197:P197" location="'CTB Form'!A54" display="Click here to return to form"/>
  </hyperlinks>
  <printOptions horizontalCentered="1"/>
  <pageMargins left="0.3937007874015748" right="0.3937007874015748" top="0.5905511811023623" bottom="0.5905511811023623" header="0.5118110236220472" footer="0.5118110236220472"/>
  <pageSetup fitToHeight="8" horizontalDpi="600" verticalDpi="600" orientation="landscape" paperSize="9" scale="40" r:id="rId3"/>
  <headerFooter alignWithMargins="0">
    <oddHeader>&amp;C&amp;A</oddHeader>
    <oddFooter>&amp;LPrinted at &amp;T on &amp;D&amp;CPage &amp;P of &amp;N</oddFooter>
  </headerFooter>
  <rowBreaks count="2" manualBreakCount="2">
    <brk id="65" max="15" man="1"/>
    <brk id="129" max="1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workbookViewId="0" topLeftCell="A1">
      <selection activeCell="A2" sqref="A2"/>
    </sheetView>
  </sheetViews>
  <sheetFormatPr defaultColWidth="9.140625" defaultRowHeight="12.75"/>
  <cols>
    <col min="1" max="11" width="10.00390625" style="0" customWidth="1"/>
  </cols>
  <sheetData>
    <row r="1" ht="15.75">
      <c r="A1" s="224" t="s">
        <v>1098</v>
      </c>
    </row>
    <row r="2" ht="12.75">
      <c r="A2" s="222" t="s">
        <v>111</v>
      </c>
    </row>
    <row r="4" spans="1:11" ht="18" customHeight="1">
      <c r="A4" s="226"/>
      <c r="B4" s="223" t="s">
        <v>1099</v>
      </c>
      <c r="C4" s="223" t="s">
        <v>885</v>
      </c>
      <c r="D4" s="223" t="s">
        <v>886</v>
      </c>
      <c r="E4" s="223" t="s">
        <v>887</v>
      </c>
      <c r="F4" s="223" t="s">
        <v>888</v>
      </c>
      <c r="G4" s="223" t="s">
        <v>889</v>
      </c>
      <c r="H4" s="223" t="s">
        <v>891</v>
      </c>
      <c r="I4" s="223" t="s">
        <v>890</v>
      </c>
      <c r="J4" s="223" t="s">
        <v>892</v>
      </c>
      <c r="K4" s="223" t="s">
        <v>893</v>
      </c>
    </row>
    <row r="5" spans="1:11" ht="18" customHeight="1">
      <c r="A5" s="225" t="s">
        <v>1078</v>
      </c>
      <c r="B5" s="227" t="s">
        <v>113</v>
      </c>
      <c r="C5" s="228"/>
      <c r="D5" s="228"/>
      <c r="E5" s="228"/>
      <c r="F5" s="228"/>
      <c r="G5" s="228"/>
      <c r="H5" s="228"/>
      <c r="I5" s="228"/>
      <c r="J5" s="228"/>
      <c r="K5" s="228"/>
    </row>
    <row r="6" spans="1:11" ht="18" customHeight="1">
      <c r="A6" s="225" t="s">
        <v>1079</v>
      </c>
      <c r="B6" s="227" t="s">
        <v>113</v>
      </c>
      <c r="C6" s="225">
        <v>20</v>
      </c>
      <c r="D6" s="225">
        <v>20</v>
      </c>
      <c r="E6" s="225">
        <v>10</v>
      </c>
      <c r="F6" s="225">
        <v>7</v>
      </c>
      <c r="G6" s="225">
        <v>7</v>
      </c>
      <c r="H6" s="225">
        <v>8</v>
      </c>
      <c r="I6" s="225">
        <v>10</v>
      </c>
      <c r="J6" s="225">
        <v>50</v>
      </c>
      <c r="K6" s="225">
        <v>50</v>
      </c>
    </row>
    <row r="7" spans="1:11" ht="18" customHeight="1">
      <c r="A7" s="225" t="s">
        <v>1080</v>
      </c>
      <c r="B7" s="227" t="s">
        <v>113</v>
      </c>
      <c r="C7" s="225">
        <v>30</v>
      </c>
      <c r="D7" s="225">
        <v>30</v>
      </c>
      <c r="E7" s="225">
        <v>30</v>
      </c>
      <c r="F7" s="225">
        <v>30</v>
      </c>
      <c r="G7" s="225">
        <v>30</v>
      </c>
      <c r="H7" s="225">
        <v>30</v>
      </c>
      <c r="I7" s="225">
        <v>30</v>
      </c>
      <c r="J7" s="225">
        <v>30</v>
      </c>
      <c r="K7" s="225">
        <v>30</v>
      </c>
    </row>
    <row r="8" spans="1:11" ht="18" customHeight="1">
      <c r="A8" s="225" t="s">
        <v>1081</v>
      </c>
      <c r="B8" s="227" t="s">
        <v>113</v>
      </c>
      <c r="C8" s="225">
        <v>75</v>
      </c>
      <c r="D8" s="225">
        <v>75</v>
      </c>
      <c r="E8" s="225">
        <v>75</v>
      </c>
      <c r="F8" s="225">
        <v>75</v>
      </c>
      <c r="G8" s="225">
        <v>75</v>
      </c>
      <c r="H8" s="225">
        <v>75</v>
      </c>
      <c r="I8" s="225">
        <v>75</v>
      </c>
      <c r="J8" s="225">
        <v>75</v>
      </c>
      <c r="K8" s="225">
        <v>75</v>
      </c>
    </row>
    <row r="9" spans="1:11" ht="18" customHeight="1">
      <c r="A9" s="225" t="s">
        <v>1082</v>
      </c>
      <c r="B9" s="227" t="s">
        <v>113</v>
      </c>
      <c r="C9" s="225">
        <v>50</v>
      </c>
      <c r="D9" s="225">
        <v>50</v>
      </c>
      <c r="E9" s="225">
        <v>50</v>
      </c>
      <c r="F9" s="225">
        <v>50</v>
      </c>
      <c r="G9" s="225">
        <v>50</v>
      </c>
      <c r="H9" s="225">
        <v>50</v>
      </c>
      <c r="I9" s="225">
        <v>50</v>
      </c>
      <c r="J9" s="225">
        <v>50</v>
      </c>
      <c r="K9" s="225">
        <v>50</v>
      </c>
    </row>
    <row r="10" spans="1:11" ht="18" customHeight="1">
      <c r="A10" s="225" t="s">
        <v>1083</v>
      </c>
      <c r="B10" s="227" t="s">
        <v>113</v>
      </c>
      <c r="C10" s="225">
        <v>0.8</v>
      </c>
      <c r="D10" s="225">
        <v>1</v>
      </c>
      <c r="E10" s="225">
        <v>1.2</v>
      </c>
      <c r="F10" s="225">
        <v>1.5</v>
      </c>
      <c r="G10" s="225">
        <v>1.8</v>
      </c>
      <c r="H10" s="225">
        <v>4</v>
      </c>
      <c r="I10" s="225">
        <v>15</v>
      </c>
      <c r="J10" s="225">
        <v>70</v>
      </c>
      <c r="K10" s="225">
        <v>70</v>
      </c>
    </row>
    <row r="11" spans="1:11" ht="18" customHeight="1">
      <c r="A11" s="225" t="s">
        <v>1084</v>
      </c>
      <c r="B11" s="227" t="s">
        <v>113</v>
      </c>
      <c r="C11" s="225">
        <v>20</v>
      </c>
      <c r="D11" s="225">
        <v>20</v>
      </c>
      <c r="E11" s="225">
        <v>20</v>
      </c>
      <c r="F11" s="225">
        <v>20</v>
      </c>
      <c r="G11" s="225">
        <v>20</v>
      </c>
      <c r="H11" s="225">
        <v>20</v>
      </c>
      <c r="I11" s="225">
        <v>20</v>
      </c>
      <c r="J11" s="225">
        <v>20</v>
      </c>
      <c r="K11" s="225">
        <v>20</v>
      </c>
    </row>
    <row r="12" spans="1:11" ht="18" customHeight="1">
      <c r="A12" s="225" t="s">
        <v>1085</v>
      </c>
      <c r="B12" s="227" t="s">
        <v>113</v>
      </c>
      <c r="C12" s="225">
        <v>50</v>
      </c>
      <c r="D12" s="225">
        <v>50</v>
      </c>
      <c r="E12" s="225">
        <v>50</v>
      </c>
      <c r="F12" s="225">
        <v>50</v>
      </c>
      <c r="G12" s="225">
        <v>50</v>
      </c>
      <c r="H12" s="225">
        <v>50</v>
      </c>
      <c r="I12" s="225">
        <v>50</v>
      </c>
      <c r="J12" s="225">
        <v>50</v>
      </c>
      <c r="K12" s="225">
        <v>50</v>
      </c>
    </row>
    <row r="13" spans="1:11" ht="18" customHeight="1">
      <c r="A13" s="225" t="s">
        <v>1086</v>
      </c>
      <c r="B13" s="225">
        <v>20</v>
      </c>
      <c r="C13" s="225">
        <v>20</v>
      </c>
      <c r="D13" s="225">
        <v>20</v>
      </c>
      <c r="E13" s="225">
        <v>20</v>
      </c>
      <c r="F13" s="225">
        <v>20</v>
      </c>
      <c r="G13" s="225">
        <v>20</v>
      </c>
      <c r="H13" s="225">
        <v>20</v>
      </c>
      <c r="I13" s="225">
        <v>20</v>
      </c>
      <c r="J13" s="225">
        <v>20</v>
      </c>
      <c r="K13" s="225">
        <v>20</v>
      </c>
    </row>
    <row r="14" spans="1:11" ht="18" customHeight="1">
      <c r="A14" s="225" t="s">
        <v>1087</v>
      </c>
      <c r="B14" s="225">
        <v>20</v>
      </c>
      <c r="C14" s="225">
        <v>20</v>
      </c>
      <c r="D14" s="225">
        <v>20</v>
      </c>
      <c r="E14" s="225">
        <v>20</v>
      </c>
      <c r="F14" s="225">
        <v>20</v>
      </c>
      <c r="G14" s="225">
        <v>20</v>
      </c>
      <c r="H14" s="225">
        <v>20</v>
      </c>
      <c r="I14" s="225">
        <v>20</v>
      </c>
      <c r="J14" s="225">
        <v>20</v>
      </c>
      <c r="K14" s="225">
        <v>20</v>
      </c>
    </row>
    <row r="15" spans="1:11" ht="18" customHeight="1">
      <c r="A15" s="225" t="s">
        <v>1088</v>
      </c>
      <c r="B15" s="225">
        <v>10</v>
      </c>
      <c r="C15" s="225">
        <v>10</v>
      </c>
      <c r="D15" s="225">
        <v>20</v>
      </c>
      <c r="E15" s="225">
        <v>20</v>
      </c>
      <c r="F15" s="225">
        <v>20</v>
      </c>
      <c r="G15" s="225">
        <v>20</v>
      </c>
      <c r="H15" s="225">
        <v>20</v>
      </c>
      <c r="I15" s="225">
        <v>20</v>
      </c>
      <c r="J15" s="225">
        <v>20</v>
      </c>
      <c r="K15" s="225">
        <v>20</v>
      </c>
    </row>
    <row r="16" spans="1:11" ht="18" customHeight="1">
      <c r="A16" s="225" t="s">
        <v>1089</v>
      </c>
      <c r="B16" s="225">
        <v>20</v>
      </c>
      <c r="C16" s="225">
        <v>20</v>
      </c>
      <c r="D16" s="225">
        <v>20</v>
      </c>
      <c r="E16" s="225">
        <v>20</v>
      </c>
      <c r="F16" s="225">
        <v>20</v>
      </c>
      <c r="G16" s="225">
        <v>20</v>
      </c>
      <c r="H16" s="225">
        <v>20</v>
      </c>
      <c r="I16" s="225">
        <v>20</v>
      </c>
      <c r="J16" s="225">
        <v>20</v>
      </c>
      <c r="K16" s="225">
        <v>20</v>
      </c>
    </row>
    <row r="17" spans="1:11" ht="18" customHeight="1">
      <c r="A17" s="225" t="s">
        <v>1090</v>
      </c>
      <c r="B17" s="225">
        <v>50</v>
      </c>
      <c r="C17" s="225">
        <v>50</v>
      </c>
      <c r="D17" s="225">
        <v>50</v>
      </c>
      <c r="E17" s="225">
        <v>50</v>
      </c>
      <c r="F17" s="225">
        <v>50</v>
      </c>
      <c r="G17" s="225">
        <v>50</v>
      </c>
      <c r="H17" s="225">
        <v>50</v>
      </c>
      <c r="I17" s="225">
        <v>50</v>
      </c>
      <c r="J17" s="225">
        <v>50</v>
      </c>
      <c r="K17" s="225">
        <v>50</v>
      </c>
    </row>
    <row r="18" spans="1:11" ht="18" customHeight="1">
      <c r="A18" s="225" t="s">
        <v>1091</v>
      </c>
      <c r="B18" s="228"/>
      <c r="C18" s="225">
        <v>20</v>
      </c>
      <c r="D18" s="225">
        <v>20</v>
      </c>
      <c r="E18" s="225">
        <v>20</v>
      </c>
      <c r="F18" s="225">
        <v>20</v>
      </c>
      <c r="G18" s="225">
        <v>20</v>
      </c>
      <c r="H18" s="225">
        <v>20</v>
      </c>
      <c r="I18" s="225">
        <v>20</v>
      </c>
      <c r="J18" s="225">
        <v>20</v>
      </c>
      <c r="K18" s="225">
        <v>20</v>
      </c>
    </row>
    <row r="19" spans="1:11" ht="18" customHeight="1">
      <c r="A19" s="225" t="s">
        <v>1092</v>
      </c>
      <c r="B19" s="228"/>
      <c r="C19" s="225">
        <v>50</v>
      </c>
      <c r="D19" s="225">
        <v>50</v>
      </c>
      <c r="E19" s="225">
        <v>50</v>
      </c>
      <c r="F19" s="225">
        <v>50</v>
      </c>
      <c r="G19" s="225">
        <v>50</v>
      </c>
      <c r="H19" s="225">
        <v>50</v>
      </c>
      <c r="I19" s="225">
        <v>50</v>
      </c>
      <c r="J19" s="225">
        <v>50</v>
      </c>
      <c r="K19" s="225">
        <v>50</v>
      </c>
    </row>
    <row r="20" spans="1:11" ht="18" customHeight="1">
      <c r="A20" s="225" t="s">
        <v>1093</v>
      </c>
      <c r="B20" s="228"/>
      <c r="C20" s="225">
        <v>20</v>
      </c>
      <c r="D20" s="225">
        <v>20</v>
      </c>
      <c r="E20" s="225">
        <v>20</v>
      </c>
      <c r="F20" s="225">
        <v>20</v>
      </c>
      <c r="G20" s="225">
        <v>20</v>
      </c>
      <c r="H20" s="225">
        <v>20</v>
      </c>
      <c r="I20" s="225">
        <v>20</v>
      </c>
      <c r="J20" s="225">
        <v>20</v>
      </c>
      <c r="K20" s="225">
        <v>20</v>
      </c>
    </row>
    <row r="21" spans="1:11" ht="18" customHeight="1">
      <c r="A21" s="225" t="s">
        <v>1094</v>
      </c>
      <c r="B21" s="228"/>
      <c r="C21" s="225">
        <v>20</v>
      </c>
      <c r="D21" s="225">
        <v>20</v>
      </c>
      <c r="E21" s="225">
        <v>20</v>
      </c>
      <c r="F21" s="225">
        <v>20</v>
      </c>
      <c r="G21" s="225">
        <v>20</v>
      </c>
      <c r="H21" s="225">
        <v>20</v>
      </c>
      <c r="I21" s="225">
        <v>20</v>
      </c>
      <c r="J21" s="225">
        <v>20</v>
      </c>
      <c r="K21" s="225">
        <v>20</v>
      </c>
    </row>
    <row r="22" spans="1:11" ht="18" customHeight="1">
      <c r="A22" s="225" t="s">
        <v>1095</v>
      </c>
      <c r="B22" s="228"/>
      <c r="C22" s="225">
        <v>20</v>
      </c>
      <c r="D22" s="225">
        <v>20</v>
      </c>
      <c r="E22" s="225">
        <v>20</v>
      </c>
      <c r="F22" s="225">
        <v>20</v>
      </c>
      <c r="G22" s="225">
        <v>20</v>
      </c>
      <c r="H22" s="225">
        <v>20</v>
      </c>
      <c r="I22" s="225">
        <v>20</v>
      </c>
      <c r="J22" s="225">
        <v>20</v>
      </c>
      <c r="K22" s="225">
        <v>20</v>
      </c>
    </row>
    <row r="23" spans="1:11" ht="18" customHeight="1">
      <c r="A23" s="225" t="s">
        <v>1096</v>
      </c>
      <c r="B23" s="227" t="s">
        <v>113</v>
      </c>
      <c r="C23" s="227" t="s">
        <v>113</v>
      </c>
      <c r="D23" s="227" t="s">
        <v>113</v>
      </c>
      <c r="E23" s="227" t="s">
        <v>113</v>
      </c>
      <c r="F23" s="227" t="s">
        <v>113</v>
      </c>
      <c r="G23" s="227" t="s">
        <v>113</v>
      </c>
      <c r="H23" s="227" t="s">
        <v>113</v>
      </c>
      <c r="I23" s="227" t="s">
        <v>113</v>
      </c>
      <c r="J23" s="227" t="s">
        <v>113</v>
      </c>
      <c r="K23" s="225">
        <v>15</v>
      </c>
    </row>
    <row r="24" spans="1:11" ht="18" customHeight="1">
      <c r="A24" s="225" t="s">
        <v>1097</v>
      </c>
      <c r="B24" s="227" t="s">
        <v>113</v>
      </c>
      <c r="C24" s="227" t="s">
        <v>113</v>
      </c>
      <c r="D24" s="227" t="s">
        <v>113</v>
      </c>
      <c r="E24" s="227" t="s">
        <v>113</v>
      </c>
      <c r="F24" s="227" t="s">
        <v>113</v>
      </c>
      <c r="G24" s="227" t="s">
        <v>113</v>
      </c>
      <c r="H24" s="227" t="s">
        <v>113</v>
      </c>
      <c r="I24" s="227" t="s">
        <v>113</v>
      </c>
      <c r="J24" s="227" t="s">
        <v>113</v>
      </c>
      <c r="K24" s="225">
        <v>3</v>
      </c>
    </row>
  </sheetData>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C839"/>
  <sheetViews>
    <sheetView zoomScale="75" zoomScaleNormal="75" workbookViewId="0" topLeftCell="A1">
      <pane xSplit="3" ySplit="7" topLeftCell="DL8" activePane="bottomRight" state="frozen"/>
      <selection pane="topLeft" activeCell="A1" sqref="A1"/>
      <selection pane="topRight" activeCell="D1" sqref="D1"/>
      <selection pane="bottomLeft" activeCell="A8" sqref="A8"/>
      <selection pane="bottomRight" activeCell="DS36" sqref="DS36"/>
    </sheetView>
  </sheetViews>
  <sheetFormatPr defaultColWidth="9.140625" defaultRowHeight="12.75"/>
  <cols>
    <col min="1" max="1" width="6.421875" style="0" customWidth="1"/>
    <col min="2" max="2" width="30.8515625" style="0" customWidth="1"/>
    <col min="3" max="3" width="12.421875" style="3" customWidth="1"/>
    <col min="4" max="12" width="9.00390625" style="0" customWidth="1"/>
    <col min="13" max="13" width="11.7109375" style="0" bestFit="1" customWidth="1"/>
    <col min="14" max="52" width="9.00390625" style="0" customWidth="1"/>
    <col min="53" max="53" width="10.140625" style="0" customWidth="1"/>
    <col min="54" max="113" width="9.00390625" style="0" customWidth="1"/>
    <col min="114" max="114" width="26.57421875" style="0" bestFit="1" customWidth="1"/>
    <col min="115" max="115" width="12.421875" style="0" bestFit="1" customWidth="1"/>
    <col min="116" max="117" width="11.57421875" style="0" bestFit="1" customWidth="1"/>
    <col min="118" max="118" width="10.7109375" style="0" bestFit="1" customWidth="1"/>
    <col min="119" max="119" width="11.8515625" style="0" bestFit="1" customWidth="1"/>
    <col min="120" max="121" width="10.7109375" style="0" bestFit="1" customWidth="1"/>
    <col min="122" max="122" width="10.140625" style="0" bestFit="1" customWidth="1"/>
    <col min="123" max="123" width="9.28125" style="0" bestFit="1" customWidth="1"/>
    <col min="124" max="124" width="11.7109375" style="42" bestFit="1" customWidth="1"/>
    <col min="125" max="129" width="9.140625" style="4" customWidth="1"/>
    <col min="130" max="130" width="9.140625" style="285" customWidth="1"/>
    <col min="131" max="159" width="9.140625" style="4" customWidth="1"/>
  </cols>
  <sheetData>
    <row r="1" spans="1:159" s="3" customFormat="1" ht="15.75" thickBot="1">
      <c r="A1" s="34">
        <v>1</v>
      </c>
      <c r="B1" s="34">
        <v>2</v>
      </c>
      <c r="C1" s="34">
        <v>3</v>
      </c>
      <c r="D1" s="34">
        <v>4</v>
      </c>
      <c r="E1" s="34">
        <v>5</v>
      </c>
      <c r="F1" s="34">
        <v>6</v>
      </c>
      <c r="G1" s="34">
        <v>7</v>
      </c>
      <c r="H1" s="34">
        <v>8</v>
      </c>
      <c r="I1" s="34">
        <v>9</v>
      </c>
      <c r="J1" s="34">
        <v>10</v>
      </c>
      <c r="K1" s="34">
        <v>11</v>
      </c>
      <c r="L1" s="34">
        <v>12</v>
      </c>
      <c r="M1" s="34">
        <v>13</v>
      </c>
      <c r="N1" s="34">
        <v>14</v>
      </c>
      <c r="O1" s="34">
        <v>15</v>
      </c>
      <c r="P1" s="34">
        <v>16</v>
      </c>
      <c r="Q1" s="34">
        <v>17</v>
      </c>
      <c r="R1" s="34">
        <v>18</v>
      </c>
      <c r="S1" s="34">
        <v>19</v>
      </c>
      <c r="T1" s="34">
        <v>20</v>
      </c>
      <c r="U1" s="34">
        <v>21</v>
      </c>
      <c r="V1" s="34">
        <v>22</v>
      </c>
      <c r="W1" s="34">
        <v>23</v>
      </c>
      <c r="X1" s="34">
        <v>24</v>
      </c>
      <c r="Y1" s="34">
        <v>25</v>
      </c>
      <c r="Z1" s="34">
        <v>26</v>
      </c>
      <c r="AA1" s="34">
        <v>27</v>
      </c>
      <c r="AB1" s="34">
        <v>28</v>
      </c>
      <c r="AC1" s="34">
        <v>29</v>
      </c>
      <c r="AD1" s="34">
        <v>30</v>
      </c>
      <c r="AE1" s="34">
        <v>31</v>
      </c>
      <c r="AF1" s="34">
        <v>32</v>
      </c>
      <c r="AG1" s="34">
        <v>33</v>
      </c>
      <c r="AH1" s="34">
        <v>34</v>
      </c>
      <c r="AI1" s="34">
        <v>35</v>
      </c>
      <c r="AJ1" s="34">
        <v>36</v>
      </c>
      <c r="AK1" s="34">
        <v>37</v>
      </c>
      <c r="AL1" s="34">
        <v>38</v>
      </c>
      <c r="AM1" s="34">
        <v>39</v>
      </c>
      <c r="AN1" s="34">
        <v>40</v>
      </c>
      <c r="AO1" s="34">
        <v>41</v>
      </c>
      <c r="AP1" s="34">
        <v>42</v>
      </c>
      <c r="AQ1" s="34">
        <v>43</v>
      </c>
      <c r="AR1" s="34">
        <v>44</v>
      </c>
      <c r="AS1" s="34">
        <v>45</v>
      </c>
      <c r="AT1" s="34">
        <v>46</v>
      </c>
      <c r="AU1" s="34">
        <v>47</v>
      </c>
      <c r="AV1" s="34">
        <v>48</v>
      </c>
      <c r="AW1" s="34">
        <v>49</v>
      </c>
      <c r="AX1" s="34">
        <v>50</v>
      </c>
      <c r="AY1" s="34">
        <v>51</v>
      </c>
      <c r="AZ1" s="34">
        <v>52</v>
      </c>
      <c r="BA1" s="34">
        <v>53</v>
      </c>
      <c r="BB1" s="34">
        <v>54</v>
      </c>
      <c r="BC1" s="34">
        <v>55</v>
      </c>
      <c r="BD1" s="34">
        <v>56</v>
      </c>
      <c r="BE1" s="34">
        <v>57</v>
      </c>
      <c r="BF1" s="34">
        <v>58</v>
      </c>
      <c r="BG1" s="34">
        <v>59</v>
      </c>
      <c r="BH1" s="34">
        <v>60</v>
      </c>
      <c r="BI1" s="34">
        <v>61</v>
      </c>
      <c r="BJ1" s="34">
        <v>62</v>
      </c>
      <c r="BK1" s="34">
        <v>63</v>
      </c>
      <c r="BL1" s="34">
        <v>64</v>
      </c>
      <c r="BM1" s="34">
        <v>65</v>
      </c>
      <c r="BN1" s="34">
        <v>66</v>
      </c>
      <c r="BO1" s="34">
        <v>67</v>
      </c>
      <c r="BP1" s="34">
        <v>68</v>
      </c>
      <c r="BQ1" s="34">
        <v>69</v>
      </c>
      <c r="BR1" s="34">
        <v>70</v>
      </c>
      <c r="BS1" s="34">
        <v>71</v>
      </c>
      <c r="BT1" s="34">
        <v>72</v>
      </c>
      <c r="BU1" s="34">
        <v>73</v>
      </c>
      <c r="BV1" s="34">
        <v>74</v>
      </c>
      <c r="BW1" s="34">
        <v>75</v>
      </c>
      <c r="BX1" s="34">
        <v>76</v>
      </c>
      <c r="BY1" s="34">
        <v>77</v>
      </c>
      <c r="BZ1" s="34">
        <v>78</v>
      </c>
      <c r="CA1" s="34">
        <v>79</v>
      </c>
      <c r="CB1" s="34">
        <v>80</v>
      </c>
      <c r="CC1" s="34">
        <v>81</v>
      </c>
      <c r="CD1" s="34">
        <v>82</v>
      </c>
      <c r="CE1" s="34">
        <v>83</v>
      </c>
      <c r="CF1" s="34">
        <v>84</v>
      </c>
      <c r="CG1" s="34">
        <v>85</v>
      </c>
      <c r="CH1" s="34">
        <v>86</v>
      </c>
      <c r="CI1" s="34">
        <v>87</v>
      </c>
      <c r="CJ1" s="34">
        <v>88</v>
      </c>
      <c r="CK1" s="34">
        <v>89</v>
      </c>
      <c r="CL1" s="34">
        <v>90</v>
      </c>
      <c r="CM1" s="34">
        <v>91</v>
      </c>
      <c r="CN1" s="34">
        <v>92</v>
      </c>
      <c r="CO1" s="34">
        <v>93</v>
      </c>
      <c r="CP1" s="34">
        <v>94</v>
      </c>
      <c r="CQ1" s="34">
        <v>95</v>
      </c>
      <c r="CR1" s="34">
        <v>96</v>
      </c>
      <c r="CS1" s="34">
        <v>97</v>
      </c>
      <c r="CT1" s="34">
        <v>98</v>
      </c>
      <c r="CU1" s="34">
        <v>99</v>
      </c>
      <c r="CV1" s="34">
        <v>100</v>
      </c>
      <c r="CW1" s="34">
        <v>101</v>
      </c>
      <c r="CX1" s="34">
        <v>102</v>
      </c>
      <c r="CY1" s="34">
        <v>103</v>
      </c>
      <c r="CZ1" s="34">
        <v>104</v>
      </c>
      <c r="DA1" s="34">
        <v>105</v>
      </c>
      <c r="DB1" s="34">
        <v>106</v>
      </c>
      <c r="DC1" s="34">
        <v>107</v>
      </c>
      <c r="DD1" s="34">
        <v>108</v>
      </c>
      <c r="DE1" s="34">
        <v>109</v>
      </c>
      <c r="DF1" s="34">
        <v>110</v>
      </c>
      <c r="DG1" s="34">
        <v>111</v>
      </c>
      <c r="DH1" s="34">
        <v>112</v>
      </c>
      <c r="DI1" s="34">
        <v>113</v>
      </c>
      <c r="DJ1" s="34">
        <v>114</v>
      </c>
      <c r="DK1" s="34">
        <v>115</v>
      </c>
      <c r="DL1" s="34">
        <v>116</v>
      </c>
      <c r="DM1" s="34">
        <v>117</v>
      </c>
      <c r="DN1" s="34">
        <v>118</v>
      </c>
      <c r="DO1" s="34">
        <v>119</v>
      </c>
      <c r="DP1" s="34">
        <v>120</v>
      </c>
      <c r="DQ1" s="34">
        <v>121</v>
      </c>
      <c r="DR1" s="34">
        <v>122</v>
      </c>
      <c r="DS1" s="34">
        <v>123</v>
      </c>
      <c r="DT1" s="34">
        <v>124</v>
      </c>
      <c r="DU1" s="122"/>
      <c r="DV1" s="122"/>
      <c r="DW1" s="122"/>
      <c r="DX1" s="122"/>
      <c r="DY1" s="122"/>
      <c r="DZ1" s="273"/>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row>
    <row r="2" spans="1:124" ht="15" customHeight="1">
      <c r="A2" s="29" t="s">
        <v>63</v>
      </c>
      <c r="B2" s="10"/>
      <c r="C2" s="18"/>
      <c r="D2" s="15"/>
      <c r="E2" s="25"/>
      <c r="F2" s="25"/>
      <c r="G2" s="25"/>
      <c r="H2" s="25"/>
      <c r="I2" s="25"/>
      <c r="J2" s="25"/>
      <c r="K2" s="25"/>
      <c r="L2" s="25"/>
      <c r="M2" s="25"/>
      <c r="N2" s="15"/>
      <c r="O2" s="25"/>
      <c r="P2" s="25"/>
      <c r="Q2" s="25"/>
      <c r="R2" s="25"/>
      <c r="S2" s="25"/>
      <c r="T2" s="25"/>
      <c r="U2" s="25"/>
      <c r="V2" s="25"/>
      <c r="W2" s="25"/>
      <c r="X2" s="15"/>
      <c r="Y2" s="25"/>
      <c r="Z2" s="25"/>
      <c r="AA2" s="25"/>
      <c r="AB2" s="25"/>
      <c r="AC2" s="25"/>
      <c r="AD2" s="25"/>
      <c r="AE2" s="25"/>
      <c r="AF2" s="25"/>
      <c r="AG2" s="25"/>
      <c r="AH2" s="7"/>
      <c r="AI2" s="8"/>
      <c r="AJ2" s="8"/>
      <c r="AK2" s="8"/>
      <c r="AL2" s="8"/>
      <c r="AM2" s="8"/>
      <c r="AN2" s="8"/>
      <c r="AO2" s="8"/>
      <c r="AP2" s="8"/>
      <c r="AQ2" s="9"/>
      <c r="AR2" s="8"/>
      <c r="AS2" s="25"/>
      <c r="AT2" s="25"/>
      <c r="AU2" s="25"/>
      <c r="AV2" s="25"/>
      <c r="AW2" s="25"/>
      <c r="AX2" s="25"/>
      <c r="AY2" s="25"/>
      <c r="AZ2" s="25"/>
      <c r="BA2" s="25"/>
      <c r="BB2" s="15"/>
      <c r="BC2" s="25"/>
      <c r="BD2" s="25"/>
      <c r="BE2" s="25"/>
      <c r="BF2" s="25"/>
      <c r="BG2" s="25"/>
      <c r="BH2" s="25"/>
      <c r="BI2" s="25"/>
      <c r="BJ2" s="25"/>
      <c r="BK2" s="25"/>
      <c r="BL2" s="15"/>
      <c r="BM2" s="25"/>
      <c r="BN2" s="25"/>
      <c r="BO2" s="25"/>
      <c r="BP2" s="25"/>
      <c r="BQ2" s="25"/>
      <c r="BR2" s="25"/>
      <c r="BS2" s="25"/>
      <c r="BT2" s="25"/>
      <c r="BU2" s="25"/>
      <c r="BV2" s="15"/>
      <c r="BW2" s="25"/>
      <c r="BX2" s="25"/>
      <c r="BY2" s="25"/>
      <c r="BZ2" s="25"/>
      <c r="CA2" s="25"/>
      <c r="CB2" s="25"/>
      <c r="CC2" s="25"/>
      <c r="CD2" s="25"/>
      <c r="CE2" s="25"/>
      <c r="CF2" s="15"/>
      <c r="CG2" s="25"/>
      <c r="CH2" s="25"/>
      <c r="CI2" s="25"/>
      <c r="CJ2" s="25"/>
      <c r="CK2" s="25"/>
      <c r="CL2" s="25"/>
      <c r="CM2" s="25"/>
      <c r="CN2" s="25"/>
      <c r="CO2" s="25"/>
      <c r="CP2" s="15"/>
      <c r="CQ2" s="25"/>
      <c r="CR2" s="25"/>
      <c r="CS2" s="25"/>
      <c r="CT2" s="25"/>
      <c r="CU2" s="25"/>
      <c r="CV2" s="25"/>
      <c r="CW2" s="25"/>
      <c r="CX2" s="25"/>
      <c r="CY2" s="25"/>
      <c r="CZ2" s="15"/>
      <c r="DA2" s="25"/>
      <c r="DB2" s="25"/>
      <c r="DC2" s="25"/>
      <c r="DD2" s="25"/>
      <c r="DE2" s="25"/>
      <c r="DF2" s="25"/>
      <c r="DG2" s="25"/>
      <c r="DH2" s="25"/>
      <c r="DI2" s="25"/>
      <c r="DJ2" s="340"/>
      <c r="DK2" s="26"/>
      <c r="DL2" s="8"/>
      <c r="DM2" s="8"/>
      <c r="DN2" s="8"/>
      <c r="DO2" s="36" t="s">
        <v>917</v>
      </c>
      <c r="DP2" s="8"/>
      <c r="DQ2" s="8"/>
      <c r="DR2" s="8"/>
      <c r="DS2" s="8"/>
      <c r="DT2" s="9"/>
    </row>
    <row r="3" spans="1:124" ht="15">
      <c r="A3" s="21"/>
      <c r="B3" s="14"/>
      <c r="C3" s="18"/>
      <c r="D3" s="15"/>
      <c r="E3" s="851" t="s">
        <v>900</v>
      </c>
      <c r="F3" s="851"/>
      <c r="G3" s="851"/>
      <c r="H3" s="851"/>
      <c r="I3" s="851"/>
      <c r="J3" s="851"/>
      <c r="K3" s="851"/>
      <c r="L3" s="851"/>
      <c r="M3" s="25"/>
      <c r="N3" s="15"/>
      <c r="O3" s="851" t="s">
        <v>901</v>
      </c>
      <c r="P3" s="851"/>
      <c r="Q3" s="851"/>
      <c r="R3" s="851"/>
      <c r="S3" s="851"/>
      <c r="T3" s="851"/>
      <c r="U3" s="851"/>
      <c r="V3" s="851"/>
      <c r="W3" s="25"/>
      <c r="X3" s="15"/>
      <c r="Y3" s="851" t="s">
        <v>902</v>
      </c>
      <c r="Z3" s="851"/>
      <c r="AA3" s="851"/>
      <c r="AB3" s="851"/>
      <c r="AC3" s="851"/>
      <c r="AD3" s="851"/>
      <c r="AE3" s="851"/>
      <c r="AF3" s="851"/>
      <c r="AG3" s="25"/>
      <c r="AH3" s="15"/>
      <c r="AI3" s="853" t="s">
        <v>903</v>
      </c>
      <c r="AJ3" s="853"/>
      <c r="AK3" s="853"/>
      <c r="AL3" s="853"/>
      <c r="AM3" s="853"/>
      <c r="AN3" s="853"/>
      <c r="AO3" s="853"/>
      <c r="AP3" s="853"/>
      <c r="AQ3" s="38"/>
      <c r="AR3" s="37"/>
      <c r="AS3" s="851" t="s">
        <v>904</v>
      </c>
      <c r="AT3" s="851"/>
      <c r="AU3" s="851"/>
      <c r="AV3" s="851"/>
      <c r="AW3" s="851"/>
      <c r="AX3" s="851"/>
      <c r="AY3" s="851"/>
      <c r="AZ3" s="851"/>
      <c r="BA3" s="27"/>
      <c r="BB3" s="28"/>
      <c r="BC3" s="851" t="s">
        <v>905</v>
      </c>
      <c r="BD3" s="851"/>
      <c r="BE3" s="851"/>
      <c r="BF3" s="851"/>
      <c r="BG3" s="851"/>
      <c r="BH3" s="851"/>
      <c r="BI3" s="851"/>
      <c r="BJ3" s="851"/>
      <c r="BK3" s="27"/>
      <c r="BL3" s="28"/>
      <c r="BM3" s="851" t="s">
        <v>906</v>
      </c>
      <c r="BN3" s="851"/>
      <c r="BO3" s="851"/>
      <c r="BP3" s="851"/>
      <c r="BQ3" s="851"/>
      <c r="BR3" s="851"/>
      <c r="BS3" s="851"/>
      <c r="BT3" s="851"/>
      <c r="BU3" s="27"/>
      <c r="BV3" s="28"/>
      <c r="BW3" s="851" t="s">
        <v>907</v>
      </c>
      <c r="BX3" s="851"/>
      <c r="BY3" s="851"/>
      <c r="BZ3" s="851"/>
      <c r="CA3" s="851"/>
      <c r="CB3" s="851"/>
      <c r="CC3" s="851"/>
      <c r="CD3" s="851"/>
      <c r="CE3" s="27"/>
      <c r="CF3" s="28"/>
      <c r="CG3" s="851" t="s">
        <v>932</v>
      </c>
      <c r="CH3" s="851"/>
      <c r="CI3" s="851"/>
      <c r="CJ3" s="851"/>
      <c r="CK3" s="851"/>
      <c r="CL3" s="851"/>
      <c r="CM3" s="851"/>
      <c r="CN3" s="851"/>
      <c r="CO3" s="27"/>
      <c r="CP3" s="28"/>
      <c r="CQ3" s="27"/>
      <c r="CR3" s="27"/>
      <c r="CS3" s="27"/>
      <c r="CT3" s="27" t="s">
        <v>908</v>
      </c>
      <c r="CU3" s="27"/>
      <c r="CV3" s="27"/>
      <c r="CW3" s="27"/>
      <c r="CX3" s="27"/>
      <c r="CY3" s="27"/>
      <c r="CZ3" s="28"/>
      <c r="DA3" s="851" t="s">
        <v>909</v>
      </c>
      <c r="DB3" s="851"/>
      <c r="DC3" s="851"/>
      <c r="DD3" s="851"/>
      <c r="DE3" s="851"/>
      <c r="DF3" s="851"/>
      <c r="DG3" s="851"/>
      <c r="DH3" s="851"/>
      <c r="DI3" s="27"/>
      <c r="DJ3" s="341" t="s">
        <v>932</v>
      </c>
      <c r="DK3" s="28" t="s">
        <v>933</v>
      </c>
      <c r="DL3" s="855" t="s">
        <v>112</v>
      </c>
      <c r="DM3" s="854"/>
      <c r="DN3" s="854"/>
      <c r="DO3" s="854"/>
      <c r="DP3" s="854"/>
      <c r="DQ3" s="854"/>
      <c r="DR3" s="854"/>
      <c r="DS3" s="854"/>
      <c r="DT3" s="11"/>
    </row>
    <row r="4" spans="1:124" ht="12.75" customHeight="1">
      <c r="A4" s="15"/>
      <c r="B4" s="10"/>
      <c r="C4" s="18"/>
      <c r="D4" s="15"/>
      <c r="E4" s="852" t="s">
        <v>165</v>
      </c>
      <c r="F4" s="852"/>
      <c r="G4" s="852"/>
      <c r="H4" s="852"/>
      <c r="I4" s="852"/>
      <c r="J4" s="852"/>
      <c r="K4" s="852"/>
      <c r="L4" s="852"/>
      <c r="M4" s="25"/>
      <c r="N4" s="15"/>
      <c r="O4" s="852" t="s">
        <v>166</v>
      </c>
      <c r="P4" s="852"/>
      <c r="Q4" s="852"/>
      <c r="R4" s="852"/>
      <c r="S4" s="852"/>
      <c r="T4" s="852"/>
      <c r="U4" s="852"/>
      <c r="V4" s="852"/>
      <c r="W4" s="25"/>
      <c r="X4" s="15"/>
      <c r="Y4" s="852" t="s">
        <v>167</v>
      </c>
      <c r="Z4" s="852"/>
      <c r="AA4" s="852"/>
      <c r="AB4" s="852"/>
      <c r="AC4" s="852"/>
      <c r="AD4" s="852"/>
      <c r="AE4" s="852"/>
      <c r="AF4" s="852"/>
      <c r="AG4" s="25"/>
      <c r="AH4" s="15"/>
      <c r="AI4" s="854" t="s">
        <v>168</v>
      </c>
      <c r="AJ4" s="854"/>
      <c r="AK4" s="854"/>
      <c r="AL4" s="854"/>
      <c r="AM4" s="854"/>
      <c r="AN4" s="854"/>
      <c r="AO4" s="854"/>
      <c r="AP4" s="854"/>
      <c r="AQ4" s="38"/>
      <c r="AR4" s="37"/>
      <c r="AS4" s="852" t="s">
        <v>169</v>
      </c>
      <c r="AT4" s="852"/>
      <c r="AU4" s="852"/>
      <c r="AV4" s="852"/>
      <c r="AW4" s="852"/>
      <c r="AX4" s="852"/>
      <c r="AY4" s="852"/>
      <c r="AZ4" s="852"/>
      <c r="BA4" s="27"/>
      <c r="BB4" s="28"/>
      <c r="BC4" s="852" t="s">
        <v>170</v>
      </c>
      <c r="BD4" s="852"/>
      <c r="BE4" s="852"/>
      <c r="BF4" s="852"/>
      <c r="BG4" s="852"/>
      <c r="BH4" s="852"/>
      <c r="BI4" s="852"/>
      <c r="BJ4" s="852"/>
      <c r="BK4" s="27"/>
      <c r="BL4" s="28"/>
      <c r="BM4" s="852" t="s">
        <v>171</v>
      </c>
      <c r="BN4" s="852"/>
      <c r="BO4" s="852"/>
      <c r="BP4" s="852"/>
      <c r="BQ4" s="852"/>
      <c r="BR4" s="852"/>
      <c r="BS4" s="852"/>
      <c r="BT4" s="852"/>
      <c r="BU4" s="27"/>
      <c r="BV4" s="28"/>
      <c r="BW4" s="852" t="s">
        <v>172</v>
      </c>
      <c r="BX4" s="852"/>
      <c r="BY4" s="852"/>
      <c r="BZ4" s="852"/>
      <c r="CA4" s="852"/>
      <c r="CB4" s="852"/>
      <c r="CC4" s="852"/>
      <c r="CD4" s="852"/>
      <c r="CE4" s="27"/>
      <c r="CF4" s="28"/>
      <c r="CG4" s="852" t="s">
        <v>173</v>
      </c>
      <c r="CH4" s="852"/>
      <c r="CI4" s="852"/>
      <c r="CJ4" s="852"/>
      <c r="CK4" s="852"/>
      <c r="CL4" s="852"/>
      <c r="CM4" s="852"/>
      <c r="CN4" s="852"/>
      <c r="CO4" s="27"/>
      <c r="CP4" s="28"/>
      <c r="CQ4" s="852" t="s">
        <v>174</v>
      </c>
      <c r="CR4" s="852"/>
      <c r="CS4" s="852"/>
      <c r="CT4" s="852"/>
      <c r="CU4" s="852"/>
      <c r="CV4" s="852"/>
      <c r="CW4" s="852"/>
      <c r="CX4" s="852"/>
      <c r="CY4" s="27"/>
      <c r="CZ4" s="28"/>
      <c r="DA4" s="852" t="s">
        <v>175</v>
      </c>
      <c r="DB4" s="852"/>
      <c r="DC4" s="852"/>
      <c r="DD4" s="852"/>
      <c r="DE4" s="852"/>
      <c r="DF4" s="852"/>
      <c r="DG4" s="852"/>
      <c r="DH4" s="852"/>
      <c r="DI4" s="27"/>
      <c r="DJ4" s="341" t="s">
        <v>910</v>
      </c>
      <c r="DK4" s="28" t="s">
        <v>911</v>
      </c>
      <c r="DL4" s="855"/>
      <c r="DM4" s="854"/>
      <c r="DN4" s="854"/>
      <c r="DO4" s="854"/>
      <c r="DP4" s="854"/>
      <c r="DQ4" s="854"/>
      <c r="DR4" s="854"/>
      <c r="DS4" s="854"/>
      <c r="DT4" s="11"/>
    </row>
    <row r="5" spans="1:124" ht="15">
      <c r="A5" s="15"/>
      <c r="B5" s="10"/>
      <c r="C5" s="18"/>
      <c r="D5" s="15"/>
      <c r="E5" s="852"/>
      <c r="F5" s="852"/>
      <c r="G5" s="852"/>
      <c r="H5" s="852"/>
      <c r="I5" s="852"/>
      <c r="J5" s="852"/>
      <c r="K5" s="852"/>
      <c r="L5" s="852"/>
      <c r="M5" s="25"/>
      <c r="N5" s="15"/>
      <c r="O5" s="852"/>
      <c r="P5" s="852"/>
      <c r="Q5" s="852"/>
      <c r="R5" s="852"/>
      <c r="S5" s="852"/>
      <c r="T5" s="852"/>
      <c r="U5" s="852"/>
      <c r="V5" s="852"/>
      <c r="W5" s="25"/>
      <c r="X5" s="15"/>
      <c r="Y5" s="852"/>
      <c r="Z5" s="852"/>
      <c r="AA5" s="852"/>
      <c r="AB5" s="852"/>
      <c r="AC5" s="852"/>
      <c r="AD5" s="852"/>
      <c r="AE5" s="852"/>
      <c r="AF5" s="852"/>
      <c r="AG5" s="25"/>
      <c r="AH5" s="15"/>
      <c r="AI5" s="854"/>
      <c r="AJ5" s="854"/>
      <c r="AK5" s="854"/>
      <c r="AL5" s="854"/>
      <c r="AM5" s="854"/>
      <c r="AN5" s="854"/>
      <c r="AO5" s="854"/>
      <c r="AP5" s="854"/>
      <c r="AQ5" s="38"/>
      <c r="AR5" s="37"/>
      <c r="AS5" s="852"/>
      <c r="AT5" s="852"/>
      <c r="AU5" s="852"/>
      <c r="AV5" s="852"/>
      <c r="AW5" s="852"/>
      <c r="AX5" s="852"/>
      <c r="AY5" s="852"/>
      <c r="AZ5" s="852"/>
      <c r="BA5" s="27"/>
      <c r="BB5" s="28"/>
      <c r="BC5" s="852"/>
      <c r="BD5" s="852"/>
      <c r="BE5" s="852"/>
      <c r="BF5" s="852"/>
      <c r="BG5" s="852"/>
      <c r="BH5" s="852"/>
      <c r="BI5" s="852"/>
      <c r="BJ5" s="852"/>
      <c r="BK5" s="27"/>
      <c r="BL5" s="28"/>
      <c r="BM5" s="852"/>
      <c r="BN5" s="852"/>
      <c r="BO5" s="852"/>
      <c r="BP5" s="852"/>
      <c r="BQ5" s="852"/>
      <c r="BR5" s="852"/>
      <c r="BS5" s="852"/>
      <c r="BT5" s="852"/>
      <c r="BU5" s="27"/>
      <c r="BV5" s="28"/>
      <c r="BW5" s="852"/>
      <c r="BX5" s="852"/>
      <c r="BY5" s="852"/>
      <c r="BZ5" s="852"/>
      <c r="CA5" s="852"/>
      <c r="CB5" s="852"/>
      <c r="CC5" s="852"/>
      <c r="CD5" s="852"/>
      <c r="CE5" s="27"/>
      <c r="CF5" s="28"/>
      <c r="CG5" s="852"/>
      <c r="CH5" s="852"/>
      <c r="CI5" s="852"/>
      <c r="CJ5" s="852"/>
      <c r="CK5" s="852"/>
      <c r="CL5" s="852"/>
      <c r="CM5" s="852"/>
      <c r="CN5" s="852"/>
      <c r="CO5" s="27"/>
      <c r="CP5" s="28"/>
      <c r="CQ5" s="852"/>
      <c r="CR5" s="852"/>
      <c r="CS5" s="852"/>
      <c r="CT5" s="852"/>
      <c r="CU5" s="852"/>
      <c r="CV5" s="852"/>
      <c r="CW5" s="852"/>
      <c r="CX5" s="852"/>
      <c r="CY5" s="27"/>
      <c r="CZ5" s="28"/>
      <c r="DA5" s="852"/>
      <c r="DB5" s="852"/>
      <c r="DC5" s="852"/>
      <c r="DD5" s="852"/>
      <c r="DE5" s="852"/>
      <c r="DF5" s="852"/>
      <c r="DG5" s="852"/>
      <c r="DH5" s="852"/>
      <c r="DI5" s="27"/>
      <c r="DJ5" s="341" t="s">
        <v>912</v>
      </c>
      <c r="DK5" s="28" t="s">
        <v>913</v>
      </c>
      <c r="DL5" s="15"/>
      <c r="DM5" s="10"/>
      <c r="DN5" s="10"/>
      <c r="DO5" s="47"/>
      <c r="DP5" s="10"/>
      <c r="DQ5" s="10"/>
      <c r="DR5" s="10"/>
      <c r="DS5" s="10"/>
      <c r="DT5" s="11"/>
    </row>
    <row r="6" spans="1:125" ht="15">
      <c r="A6" s="16" t="s">
        <v>119</v>
      </c>
      <c r="B6" s="17" t="s">
        <v>120</v>
      </c>
      <c r="C6" s="19" t="s">
        <v>121</v>
      </c>
      <c r="D6" s="15"/>
      <c r="E6" s="25"/>
      <c r="F6" s="25"/>
      <c r="G6" s="25"/>
      <c r="H6" s="25"/>
      <c r="I6" s="25"/>
      <c r="J6" s="25"/>
      <c r="K6" s="25"/>
      <c r="L6" s="25"/>
      <c r="M6" s="25"/>
      <c r="N6" s="15"/>
      <c r="O6" s="25"/>
      <c r="P6" s="25"/>
      <c r="Q6" s="25"/>
      <c r="R6" s="25"/>
      <c r="S6" s="25"/>
      <c r="T6" s="25"/>
      <c r="U6" s="25"/>
      <c r="V6" s="25"/>
      <c r="W6" s="25"/>
      <c r="X6" s="15"/>
      <c r="Y6" s="25"/>
      <c r="Z6" s="25"/>
      <c r="AA6" s="25"/>
      <c r="AB6" s="25"/>
      <c r="AC6" s="25"/>
      <c r="AD6" s="25"/>
      <c r="AE6" s="25"/>
      <c r="AF6" s="25"/>
      <c r="AG6" s="25"/>
      <c r="AH6" s="15"/>
      <c r="AI6" s="10"/>
      <c r="AJ6" s="10"/>
      <c r="AK6" s="10"/>
      <c r="AL6" s="10"/>
      <c r="AM6" s="10"/>
      <c r="AN6" s="10"/>
      <c r="AO6" s="10"/>
      <c r="AP6" s="10"/>
      <c r="AQ6" s="11"/>
      <c r="AR6" s="10"/>
      <c r="AS6" s="25"/>
      <c r="AT6" s="25"/>
      <c r="AU6" s="25"/>
      <c r="AV6" s="25"/>
      <c r="AW6" s="25"/>
      <c r="AX6" s="25"/>
      <c r="AY6" s="25"/>
      <c r="AZ6" s="25"/>
      <c r="BA6" s="25"/>
      <c r="BB6" s="15"/>
      <c r="BC6" s="25"/>
      <c r="BD6" s="25"/>
      <c r="BE6" s="25"/>
      <c r="BF6" s="25"/>
      <c r="BG6" s="25"/>
      <c r="BH6" s="25"/>
      <c r="BI6" s="25"/>
      <c r="BJ6" s="25"/>
      <c r="BK6" s="25"/>
      <c r="BL6" s="15"/>
      <c r="BM6" s="25"/>
      <c r="BN6" s="25"/>
      <c r="BO6" s="25"/>
      <c r="BP6" s="44"/>
      <c r="BQ6" s="25"/>
      <c r="BR6" s="25"/>
      <c r="BS6" s="25"/>
      <c r="BT6" s="25"/>
      <c r="BU6" s="25"/>
      <c r="BV6" s="15"/>
      <c r="BW6" s="25"/>
      <c r="BX6" s="25"/>
      <c r="BY6" s="25"/>
      <c r="BZ6" s="25"/>
      <c r="CA6" s="25"/>
      <c r="CB6" s="25"/>
      <c r="CC6" s="25"/>
      <c r="CD6" s="25"/>
      <c r="CE6" s="25"/>
      <c r="CF6" s="15"/>
      <c r="CG6" s="25"/>
      <c r="CH6" s="25"/>
      <c r="CI6" s="25"/>
      <c r="CJ6" s="25"/>
      <c r="CK6" s="25"/>
      <c r="CL6" s="25"/>
      <c r="CM6" s="25"/>
      <c r="CN6" s="25"/>
      <c r="CO6" s="25"/>
      <c r="CP6" s="15"/>
      <c r="CQ6" s="25"/>
      <c r="CR6" s="25"/>
      <c r="CS6" s="25"/>
      <c r="CT6" s="25"/>
      <c r="CU6" s="25"/>
      <c r="CV6" s="25"/>
      <c r="CW6" s="25"/>
      <c r="CX6" s="25"/>
      <c r="CY6" s="25"/>
      <c r="CZ6" s="15"/>
      <c r="DA6" s="25"/>
      <c r="DB6" s="25"/>
      <c r="DC6" s="25"/>
      <c r="DD6" s="44"/>
      <c r="DE6" s="25"/>
      <c r="DF6" s="25"/>
      <c r="DG6" s="25"/>
      <c r="DH6" s="25"/>
      <c r="DI6" s="25"/>
      <c r="DJ6" s="341" t="s">
        <v>914</v>
      </c>
      <c r="DK6" s="29"/>
      <c r="DL6" s="28" t="s">
        <v>876</v>
      </c>
      <c r="DM6" s="37" t="s">
        <v>877</v>
      </c>
      <c r="DN6" s="37" t="s">
        <v>878</v>
      </c>
      <c r="DO6" s="37" t="s">
        <v>879</v>
      </c>
      <c r="DP6" s="37" t="s">
        <v>880</v>
      </c>
      <c r="DQ6" s="37" t="s">
        <v>881</v>
      </c>
      <c r="DR6" s="37" t="s">
        <v>882</v>
      </c>
      <c r="DS6" s="37" t="s">
        <v>916</v>
      </c>
      <c r="DT6" s="38" t="s">
        <v>883</v>
      </c>
      <c r="DU6" s="162"/>
    </row>
    <row r="7" spans="1:125" ht="15">
      <c r="A7" s="15"/>
      <c r="B7" s="10"/>
      <c r="C7" s="18"/>
      <c r="D7" s="28" t="s">
        <v>915</v>
      </c>
      <c r="E7" s="27" t="s">
        <v>876</v>
      </c>
      <c r="F7" s="27" t="s">
        <v>877</v>
      </c>
      <c r="G7" s="27" t="s">
        <v>878</v>
      </c>
      <c r="H7" s="27" t="s">
        <v>879</v>
      </c>
      <c r="I7" s="27" t="s">
        <v>880</v>
      </c>
      <c r="J7" s="27" t="s">
        <v>881</v>
      </c>
      <c r="K7" s="27" t="s">
        <v>882</v>
      </c>
      <c r="L7" s="27" t="s">
        <v>916</v>
      </c>
      <c r="M7" s="27" t="s">
        <v>883</v>
      </c>
      <c r="N7" s="28" t="s">
        <v>915</v>
      </c>
      <c r="O7" s="27" t="s">
        <v>876</v>
      </c>
      <c r="P7" s="27" t="s">
        <v>877</v>
      </c>
      <c r="Q7" s="27" t="s">
        <v>878</v>
      </c>
      <c r="R7" s="27" t="s">
        <v>879</v>
      </c>
      <c r="S7" s="27" t="s">
        <v>880</v>
      </c>
      <c r="T7" s="27" t="s">
        <v>881</v>
      </c>
      <c r="U7" s="27" t="s">
        <v>882</v>
      </c>
      <c r="V7" s="27" t="s">
        <v>916</v>
      </c>
      <c r="W7" s="27" t="s">
        <v>883</v>
      </c>
      <c r="X7" s="28" t="s">
        <v>915</v>
      </c>
      <c r="Y7" s="27" t="s">
        <v>876</v>
      </c>
      <c r="Z7" s="27" t="s">
        <v>877</v>
      </c>
      <c r="AA7" s="27" t="s">
        <v>878</v>
      </c>
      <c r="AB7" s="27" t="s">
        <v>879</v>
      </c>
      <c r="AC7" s="27" t="s">
        <v>880</v>
      </c>
      <c r="AD7" s="27" t="s">
        <v>881</v>
      </c>
      <c r="AE7" s="27" t="s">
        <v>882</v>
      </c>
      <c r="AF7" s="27" t="s">
        <v>916</v>
      </c>
      <c r="AG7" s="27" t="s">
        <v>883</v>
      </c>
      <c r="AH7" s="28" t="s">
        <v>915</v>
      </c>
      <c r="AI7" s="37" t="s">
        <v>876</v>
      </c>
      <c r="AJ7" s="37" t="s">
        <v>877</v>
      </c>
      <c r="AK7" s="37" t="s">
        <v>878</v>
      </c>
      <c r="AL7" s="37" t="s">
        <v>879</v>
      </c>
      <c r="AM7" s="37" t="s">
        <v>880</v>
      </c>
      <c r="AN7" s="37" t="s">
        <v>881</v>
      </c>
      <c r="AO7" s="37" t="s">
        <v>882</v>
      </c>
      <c r="AP7" s="37" t="s">
        <v>916</v>
      </c>
      <c r="AQ7" s="38" t="s">
        <v>883</v>
      </c>
      <c r="AR7" s="37" t="s">
        <v>915</v>
      </c>
      <c r="AS7" s="27" t="s">
        <v>876</v>
      </c>
      <c r="AT7" s="27" t="s">
        <v>877</v>
      </c>
      <c r="AU7" s="27" t="s">
        <v>878</v>
      </c>
      <c r="AV7" s="27" t="s">
        <v>879</v>
      </c>
      <c r="AW7" s="27" t="s">
        <v>880</v>
      </c>
      <c r="AX7" s="27" t="s">
        <v>881</v>
      </c>
      <c r="AY7" s="27" t="s">
        <v>882</v>
      </c>
      <c r="AZ7" s="27" t="s">
        <v>916</v>
      </c>
      <c r="BA7" s="27" t="s">
        <v>883</v>
      </c>
      <c r="BB7" s="28" t="s">
        <v>915</v>
      </c>
      <c r="BC7" s="27" t="s">
        <v>876</v>
      </c>
      <c r="BD7" s="27" t="s">
        <v>877</v>
      </c>
      <c r="BE7" s="27" t="s">
        <v>878</v>
      </c>
      <c r="BF7" s="27" t="s">
        <v>879</v>
      </c>
      <c r="BG7" s="27" t="s">
        <v>880</v>
      </c>
      <c r="BH7" s="27" t="s">
        <v>881</v>
      </c>
      <c r="BI7" s="27" t="s">
        <v>882</v>
      </c>
      <c r="BJ7" s="27" t="s">
        <v>916</v>
      </c>
      <c r="BK7" s="27" t="s">
        <v>883</v>
      </c>
      <c r="BL7" s="28" t="s">
        <v>915</v>
      </c>
      <c r="BM7" s="27" t="s">
        <v>876</v>
      </c>
      <c r="BN7" s="27" t="s">
        <v>877</v>
      </c>
      <c r="BO7" s="27" t="s">
        <v>878</v>
      </c>
      <c r="BP7" s="27" t="s">
        <v>879</v>
      </c>
      <c r="BQ7" s="27" t="s">
        <v>880</v>
      </c>
      <c r="BR7" s="27" t="s">
        <v>881</v>
      </c>
      <c r="BS7" s="27" t="s">
        <v>882</v>
      </c>
      <c r="BT7" s="27" t="s">
        <v>916</v>
      </c>
      <c r="BU7" s="27" t="s">
        <v>883</v>
      </c>
      <c r="BV7" s="28" t="s">
        <v>915</v>
      </c>
      <c r="BW7" s="27" t="s">
        <v>876</v>
      </c>
      <c r="BX7" s="27" t="s">
        <v>877</v>
      </c>
      <c r="BY7" s="27" t="s">
        <v>878</v>
      </c>
      <c r="BZ7" s="27" t="s">
        <v>879</v>
      </c>
      <c r="CA7" s="27" t="s">
        <v>880</v>
      </c>
      <c r="CB7" s="27" t="s">
        <v>881</v>
      </c>
      <c r="CC7" s="27" t="s">
        <v>882</v>
      </c>
      <c r="CD7" s="27" t="s">
        <v>916</v>
      </c>
      <c r="CE7" s="27" t="s">
        <v>883</v>
      </c>
      <c r="CF7" s="28" t="s">
        <v>915</v>
      </c>
      <c r="CG7" s="27" t="s">
        <v>876</v>
      </c>
      <c r="CH7" s="27" t="s">
        <v>877</v>
      </c>
      <c r="CI7" s="27" t="s">
        <v>878</v>
      </c>
      <c r="CJ7" s="27" t="s">
        <v>879</v>
      </c>
      <c r="CK7" s="27" t="s">
        <v>880</v>
      </c>
      <c r="CL7" s="27" t="s">
        <v>881</v>
      </c>
      <c r="CM7" s="27" t="s">
        <v>882</v>
      </c>
      <c r="CN7" s="27" t="s">
        <v>916</v>
      </c>
      <c r="CO7" s="27" t="s">
        <v>883</v>
      </c>
      <c r="CP7" s="28" t="s">
        <v>915</v>
      </c>
      <c r="CQ7" s="27" t="s">
        <v>876</v>
      </c>
      <c r="CR7" s="27" t="s">
        <v>877</v>
      </c>
      <c r="CS7" s="27" t="s">
        <v>878</v>
      </c>
      <c r="CT7" s="27" t="s">
        <v>879</v>
      </c>
      <c r="CU7" s="27" t="s">
        <v>880</v>
      </c>
      <c r="CV7" s="27" t="s">
        <v>881</v>
      </c>
      <c r="CW7" s="27" t="s">
        <v>882</v>
      </c>
      <c r="CX7" s="27" t="s">
        <v>916</v>
      </c>
      <c r="CY7" s="27" t="s">
        <v>883</v>
      </c>
      <c r="CZ7" s="28" t="s">
        <v>915</v>
      </c>
      <c r="DA7" s="27" t="s">
        <v>876</v>
      </c>
      <c r="DB7" s="27" t="s">
        <v>877</v>
      </c>
      <c r="DC7" s="27" t="s">
        <v>878</v>
      </c>
      <c r="DD7" s="27" t="s">
        <v>879</v>
      </c>
      <c r="DE7" s="27" t="s">
        <v>880</v>
      </c>
      <c r="DF7" s="27" t="s">
        <v>881</v>
      </c>
      <c r="DG7" s="27" t="s">
        <v>882</v>
      </c>
      <c r="DH7" s="27" t="s">
        <v>916</v>
      </c>
      <c r="DI7" s="27" t="s">
        <v>883</v>
      </c>
      <c r="DJ7" s="72"/>
      <c r="DK7" s="44"/>
      <c r="DL7" s="117"/>
      <c r="DM7" s="118"/>
      <c r="DN7" s="118"/>
      <c r="DO7" s="118"/>
      <c r="DP7" s="118"/>
      <c r="DQ7" s="118"/>
      <c r="DR7" s="118"/>
      <c r="DS7" s="118"/>
      <c r="DT7" s="119"/>
      <c r="DU7" s="162"/>
    </row>
    <row r="8" spans="1:131" ht="15.75" thickBot="1">
      <c r="A8" s="12"/>
      <c r="B8" s="13"/>
      <c r="C8" s="30"/>
      <c r="D8" s="31"/>
      <c r="E8" s="32"/>
      <c r="F8" s="32"/>
      <c r="G8" s="32"/>
      <c r="H8" s="32"/>
      <c r="I8" s="32"/>
      <c r="J8" s="32"/>
      <c r="K8" s="32"/>
      <c r="L8" s="32"/>
      <c r="M8" s="32"/>
      <c r="N8" s="31"/>
      <c r="O8" s="32"/>
      <c r="P8" s="32"/>
      <c r="Q8" s="32"/>
      <c r="R8" s="32"/>
      <c r="S8" s="32"/>
      <c r="T8" s="32"/>
      <c r="U8" s="32"/>
      <c r="V8" s="32"/>
      <c r="W8" s="32"/>
      <c r="X8" s="31"/>
      <c r="Y8" s="32"/>
      <c r="Z8" s="32"/>
      <c r="AA8" s="32"/>
      <c r="AB8" s="32"/>
      <c r="AC8" s="32"/>
      <c r="AD8" s="32"/>
      <c r="AE8" s="32"/>
      <c r="AF8" s="32"/>
      <c r="AG8" s="39"/>
      <c r="AH8" s="31"/>
      <c r="AI8" s="32"/>
      <c r="AJ8" s="32"/>
      <c r="AK8" s="32"/>
      <c r="AL8" s="32"/>
      <c r="AM8" s="32"/>
      <c r="AN8" s="32"/>
      <c r="AO8" s="32"/>
      <c r="AP8" s="32"/>
      <c r="AQ8" s="39"/>
      <c r="AR8" s="32"/>
      <c r="AS8" s="32"/>
      <c r="AT8" s="32"/>
      <c r="AU8" s="32"/>
      <c r="AV8" s="32"/>
      <c r="AW8" s="32"/>
      <c r="AX8" s="32"/>
      <c r="AY8" s="32"/>
      <c r="AZ8" s="32"/>
      <c r="BA8" s="32"/>
      <c r="BB8" s="31"/>
      <c r="BC8" s="32"/>
      <c r="BD8" s="32"/>
      <c r="BE8" s="32"/>
      <c r="BF8" s="32"/>
      <c r="BG8" s="32"/>
      <c r="BH8" s="32"/>
      <c r="BI8" s="32"/>
      <c r="BJ8" s="32"/>
      <c r="BK8" s="32"/>
      <c r="BL8" s="31"/>
      <c r="BM8" s="32"/>
      <c r="BN8" s="32"/>
      <c r="BO8" s="32"/>
      <c r="BP8" s="32"/>
      <c r="BQ8" s="32"/>
      <c r="BR8" s="32"/>
      <c r="BS8" s="32"/>
      <c r="BT8" s="32"/>
      <c r="BU8" s="32"/>
      <c r="BV8" s="31"/>
      <c r="BW8" s="32"/>
      <c r="BX8" s="32"/>
      <c r="BY8" s="32"/>
      <c r="BZ8" s="32"/>
      <c r="CA8" s="32"/>
      <c r="CB8" s="32"/>
      <c r="CC8" s="32"/>
      <c r="CD8" s="32"/>
      <c r="CE8" s="32"/>
      <c r="CF8" s="31"/>
      <c r="CG8" s="32"/>
      <c r="CH8" s="32"/>
      <c r="CI8" s="32"/>
      <c r="CJ8" s="32"/>
      <c r="CK8" s="32"/>
      <c r="CL8" s="32"/>
      <c r="CM8" s="32"/>
      <c r="CN8" s="32"/>
      <c r="CO8" s="32"/>
      <c r="CP8" s="31"/>
      <c r="CQ8" s="32"/>
      <c r="CR8" s="32"/>
      <c r="CS8" s="32"/>
      <c r="CT8" s="32"/>
      <c r="CU8" s="32"/>
      <c r="CV8" s="32"/>
      <c r="CW8" s="32"/>
      <c r="CX8" s="32"/>
      <c r="CY8" s="32"/>
      <c r="CZ8" s="31"/>
      <c r="DA8" s="32"/>
      <c r="DB8" s="32"/>
      <c r="DC8" s="32"/>
      <c r="DD8" s="32"/>
      <c r="DE8" s="32"/>
      <c r="DF8" s="32"/>
      <c r="DG8" s="32"/>
      <c r="DH8" s="32"/>
      <c r="DI8" s="32"/>
      <c r="DJ8" s="33"/>
      <c r="DK8" s="33"/>
      <c r="DL8" s="848"/>
      <c r="DM8" s="849"/>
      <c r="DN8" s="849"/>
      <c r="DO8" s="849"/>
      <c r="DP8" s="849"/>
      <c r="DQ8" s="849"/>
      <c r="DR8" s="849"/>
      <c r="DS8" s="849"/>
      <c r="DT8" s="850"/>
      <c r="DU8" s="162"/>
      <c r="DV8" s="286"/>
      <c r="DW8" s="287"/>
      <c r="DX8" s="287"/>
      <c r="DY8" s="287"/>
      <c r="DZ8" s="300"/>
      <c r="EA8" s="288"/>
    </row>
    <row r="9" spans="1:137" ht="15.75">
      <c r="A9" s="22">
        <v>1</v>
      </c>
      <c r="B9" s="23" t="s">
        <v>122</v>
      </c>
      <c r="C9" s="24" t="s">
        <v>123</v>
      </c>
      <c r="D9" s="610"/>
      <c r="E9" s="626">
        <v>2569</v>
      </c>
      <c r="F9" s="626">
        <v>4705</v>
      </c>
      <c r="G9" s="626">
        <v>10927</v>
      </c>
      <c r="H9" s="626">
        <v>5968</v>
      </c>
      <c r="I9" s="626">
        <v>1920</v>
      </c>
      <c r="J9" s="626">
        <v>683</v>
      </c>
      <c r="K9" s="626">
        <v>312</v>
      </c>
      <c r="L9" s="626">
        <v>10</v>
      </c>
      <c r="M9" s="627">
        <v>27094</v>
      </c>
      <c r="N9" s="322"/>
      <c r="O9" s="323">
        <v>75</v>
      </c>
      <c r="P9" s="323">
        <v>98</v>
      </c>
      <c r="Q9" s="323">
        <v>155</v>
      </c>
      <c r="R9" s="323">
        <v>65</v>
      </c>
      <c r="S9" s="323">
        <v>9</v>
      </c>
      <c r="T9" s="323">
        <v>4</v>
      </c>
      <c r="U9" s="323">
        <v>5</v>
      </c>
      <c r="V9" s="323">
        <v>1</v>
      </c>
      <c r="W9" s="323">
        <v>412</v>
      </c>
      <c r="X9" s="325" t="s">
        <v>934</v>
      </c>
      <c r="Y9" s="326">
        <v>0</v>
      </c>
      <c r="Z9" s="326">
        <v>1</v>
      </c>
      <c r="AA9" s="326">
        <v>0</v>
      </c>
      <c r="AB9" s="326">
        <v>0</v>
      </c>
      <c r="AC9" s="326">
        <v>0</v>
      </c>
      <c r="AD9" s="326">
        <v>0</v>
      </c>
      <c r="AE9" s="326">
        <v>1</v>
      </c>
      <c r="AF9" s="326">
        <v>0</v>
      </c>
      <c r="AG9" s="324">
        <v>2</v>
      </c>
      <c r="AH9" s="329" t="s">
        <v>934</v>
      </c>
      <c r="AI9" s="184">
        <v>5</v>
      </c>
      <c r="AJ9" s="184">
        <v>16</v>
      </c>
      <c r="AK9" s="184">
        <v>44</v>
      </c>
      <c r="AL9" s="184">
        <v>33</v>
      </c>
      <c r="AM9" s="184">
        <v>20</v>
      </c>
      <c r="AN9" s="184">
        <v>7</v>
      </c>
      <c r="AO9" s="184">
        <v>9</v>
      </c>
      <c r="AP9" s="184">
        <v>7</v>
      </c>
      <c r="AQ9" s="336">
        <v>141</v>
      </c>
      <c r="AR9" s="323">
        <v>3</v>
      </c>
      <c r="AS9" s="323">
        <v>1662</v>
      </c>
      <c r="AT9" s="323">
        <v>2207</v>
      </c>
      <c r="AU9" s="323">
        <v>3499</v>
      </c>
      <c r="AV9" s="323">
        <v>1610</v>
      </c>
      <c r="AW9" s="323">
        <v>334</v>
      </c>
      <c r="AX9" s="323">
        <v>107</v>
      </c>
      <c r="AY9" s="323">
        <v>34</v>
      </c>
      <c r="AZ9" s="323">
        <v>1</v>
      </c>
      <c r="BA9" s="323">
        <v>9457</v>
      </c>
      <c r="BB9" s="327">
        <v>0</v>
      </c>
      <c r="BC9" s="326">
        <v>14</v>
      </c>
      <c r="BD9" s="326">
        <v>50</v>
      </c>
      <c r="BE9" s="326">
        <v>109</v>
      </c>
      <c r="BF9" s="326">
        <v>34</v>
      </c>
      <c r="BG9" s="326">
        <v>14</v>
      </c>
      <c r="BH9" s="326">
        <v>4</v>
      </c>
      <c r="BI9" s="326">
        <v>3</v>
      </c>
      <c r="BJ9" s="326">
        <v>0</v>
      </c>
      <c r="BK9" s="324">
        <v>228</v>
      </c>
      <c r="BL9" s="323">
        <v>0</v>
      </c>
      <c r="BM9" s="323">
        <v>2</v>
      </c>
      <c r="BN9" s="323">
        <v>2</v>
      </c>
      <c r="BO9" s="323">
        <v>6</v>
      </c>
      <c r="BP9" s="323">
        <v>6</v>
      </c>
      <c r="BQ9" s="323">
        <v>5</v>
      </c>
      <c r="BR9" s="323">
        <v>7</v>
      </c>
      <c r="BS9" s="323">
        <v>8</v>
      </c>
      <c r="BT9" s="323">
        <v>0</v>
      </c>
      <c r="BU9" s="323">
        <v>36</v>
      </c>
      <c r="BV9" s="325" t="s">
        <v>934</v>
      </c>
      <c r="BW9" s="326">
        <v>18</v>
      </c>
      <c r="BX9" s="326">
        <v>28</v>
      </c>
      <c r="BY9" s="326">
        <v>82</v>
      </c>
      <c r="BZ9" s="326">
        <v>40</v>
      </c>
      <c r="CA9" s="326">
        <v>7</v>
      </c>
      <c r="CB9" s="326">
        <v>9</v>
      </c>
      <c r="CC9" s="326">
        <v>6</v>
      </c>
      <c r="CD9" s="326">
        <v>0</v>
      </c>
      <c r="CE9" s="324">
        <v>190</v>
      </c>
      <c r="CF9" s="322" t="s">
        <v>934</v>
      </c>
      <c r="CG9" s="323">
        <v>0</v>
      </c>
      <c r="CH9" s="323">
        <v>0</v>
      </c>
      <c r="CI9" s="323">
        <v>0</v>
      </c>
      <c r="CJ9" s="323">
        <v>0</v>
      </c>
      <c r="CK9" s="323">
        <v>0</v>
      </c>
      <c r="CL9" s="323">
        <v>0</v>
      </c>
      <c r="CM9" s="323">
        <v>0</v>
      </c>
      <c r="CN9" s="323">
        <v>0</v>
      </c>
      <c r="CO9" s="323">
        <v>0</v>
      </c>
      <c r="CP9" s="325" t="s">
        <v>934</v>
      </c>
      <c r="CQ9" s="326">
        <v>30</v>
      </c>
      <c r="CR9" s="326">
        <v>28</v>
      </c>
      <c r="CS9" s="326">
        <v>43</v>
      </c>
      <c r="CT9" s="326">
        <v>24</v>
      </c>
      <c r="CU9" s="326">
        <v>9</v>
      </c>
      <c r="CV9" s="326">
        <v>4</v>
      </c>
      <c r="CW9" s="326">
        <v>2</v>
      </c>
      <c r="CX9" s="326">
        <v>0</v>
      </c>
      <c r="CY9" s="324">
        <v>140</v>
      </c>
      <c r="CZ9" s="322" t="s">
        <v>934</v>
      </c>
      <c r="DA9" s="323">
        <v>0</v>
      </c>
      <c r="DB9" s="323">
        <v>0</v>
      </c>
      <c r="DC9" s="323">
        <v>0</v>
      </c>
      <c r="DD9" s="323">
        <v>0</v>
      </c>
      <c r="DE9" s="323">
        <v>0</v>
      </c>
      <c r="DF9" s="323">
        <v>0</v>
      </c>
      <c r="DG9" s="323">
        <v>0</v>
      </c>
      <c r="DH9" s="323">
        <v>0</v>
      </c>
      <c r="DI9" s="323">
        <v>0</v>
      </c>
      <c r="DJ9" s="335">
        <v>0</v>
      </c>
      <c r="DK9" s="643">
        <v>22341.7</v>
      </c>
      <c r="DL9" s="611">
        <v>2591</v>
      </c>
      <c r="DM9" s="611">
        <v>4711</v>
      </c>
      <c r="DN9" s="611">
        <v>10988</v>
      </c>
      <c r="DO9" s="611">
        <v>5981</v>
      </c>
      <c r="DP9" s="611">
        <v>1910</v>
      </c>
      <c r="DQ9" s="611">
        <v>686</v>
      </c>
      <c r="DR9" s="611">
        <v>309</v>
      </c>
      <c r="DS9" s="612">
        <v>10</v>
      </c>
      <c r="DT9" s="607">
        <f aca="true" t="shared" si="0" ref="DT9:DT72">SUM(DL9:DS9)</f>
        <v>27186</v>
      </c>
      <c r="DU9" s="342"/>
      <c r="DV9" s="289"/>
      <c r="DW9" s="290" t="s">
        <v>961</v>
      </c>
      <c r="DX9" s="291"/>
      <c r="DY9" s="291"/>
      <c r="DZ9" s="301"/>
      <c r="EA9" s="292"/>
      <c r="EB9" s="123"/>
      <c r="EC9" s="646"/>
      <c r="ED9" s="123"/>
      <c r="EE9" s="123"/>
      <c r="EF9" s="123"/>
      <c r="EG9" s="124"/>
    </row>
    <row r="10" spans="1:137" ht="15">
      <c r="A10" s="22">
        <v>2</v>
      </c>
      <c r="B10" s="23" t="s">
        <v>124</v>
      </c>
      <c r="C10" s="24" t="s">
        <v>125</v>
      </c>
      <c r="D10" s="613"/>
      <c r="E10" s="628">
        <v>21871</v>
      </c>
      <c r="F10" s="628">
        <v>6917</v>
      </c>
      <c r="G10" s="628">
        <v>6670</v>
      </c>
      <c r="H10" s="628">
        <v>4873</v>
      </c>
      <c r="I10" s="628">
        <v>2681</v>
      </c>
      <c r="J10" s="628">
        <v>1029</v>
      </c>
      <c r="K10" s="628">
        <v>467</v>
      </c>
      <c r="L10" s="628">
        <v>25</v>
      </c>
      <c r="M10" s="627">
        <v>44533</v>
      </c>
      <c r="N10" s="322"/>
      <c r="O10" s="323">
        <v>618</v>
      </c>
      <c r="P10" s="323">
        <v>124</v>
      </c>
      <c r="Q10" s="323">
        <v>135</v>
      </c>
      <c r="R10" s="323">
        <v>80</v>
      </c>
      <c r="S10" s="323">
        <v>36</v>
      </c>
      <c r="T10" s="323">
        <v>18</v>
      </c>
      <c r="U10" s="323">
        <v>5</v>
      </c>
      <c r="V10" s="323">
        <v>1</v>
      </c>
      <c r="W10" s="323">
        <v>1017</v>
      </c>
      <c r="X10" s="329" t="s">
        <v>934</v>
      </c>
      <c r="Y10" s="330">
        <v>0</v>
      </c>
      <c r="Z10" s="330">
        <v>0</v>
      </c>
      <c r="AA10" s="330">
        <v>0</v>
      </c>
      <c r="AB10" s="330">
        <v>0</v>
      </c>
      <c r="AC10" s="330">
        <v>0</v>
      </c>
      <c r="AD10" s="330">
        <v>0</v>
      </c>
      <c r="AE10" s="330">
        <v>0</v>
      </c>
      <c r="AF10" s="330">
        <v>0</v>
      </c>
      <c r="AG10" s="328">
        <v>0</v>
      </c>
      <c r="AH10" s="329" t="s">
        <v>934</v>
      </c>
      <c r="AI10" s="184">
        <v>30</v>
      </c>
      <c r="AJ10" s="184">
        <v>33</v>
      </c>
      <c r="AK10" s="184">
        <v>40</v>
      </c>
      <c r="AL10" s="184">
        <v>29</v>
      </c>
      <c r="AM10" s="184">
        <v>27</v>
      </c>
      <c r="AN10" s="184">
        <v>5</v>
      </c>
      <c r="AO10" s="184">
        <v>6</v>
      </c>
      <c r="AP10" s="184">
        <v>8</v>
      </c>
      <c r="AQ10" s="336">
        <v>178</v>
      </c>
      <c r="AR10" s="323">
        <v>7</v>
      </c>
      <c r="AS10" s="323">
        <v>9556</v>
      </c>
      <c r="AT10" s="323">
        <v>2090</v>
      </c>
      <c r="AU10" s="323">
        <v>1609</v>
      </c>
      <c r="AV10" s="323">
        <v>920</v>
      </c>
      <c r="AW10" s="323">
        <v>402</v>
      </c>
      <c r="AX10" s="323">
        <v>158</v>
      </c>
      <c r="AY10" s="323">
        <v>66</v>
      </c>
      <c r="AZ10" s="323">
        <v>3</v>
      </c>
      <c r="BA10" s="323">
        <v>14811</v>
      </c>
      <c r="BB10" s="331">
        <v>0</v>
      </c>
      <c r="BC10" s="330">
        <v>95</v>
      </c>
      <c r="BD10" s="330">
        <v>37</v>
      </c>
      <c r="BE10" s="330">
        <v>23</v>
      </c>
      <c r="BF10" s="330">
        <v>24</v>
      </c>
      <c r="BG10" s="330">
        <v>13</v>
      </c>
      <c r="BH10" s="330">
        <v>4</v>
      </c>
      <c r="BI10" s="330">
        <v>2</v>
      </c>
      <c r="BJ10" s="330">
        <v>0</v>
      </c>
      <c r="BK10" s="328">
        <v>198</v>
      </c>
      <c r="BL10" s="323">
        <v>0</v>
      </c>
      <c r="BM10" s="323">
        <v>22</v>
      </c>
      <c r="BN10" s="323">
        <v>5</v>
      </c>
      <c r="BO10" s="323">
        <v>6</v>
      </c>
      <c r="BP10" s="323">
        <v>4</v>
      </c>
      <c r="BQ10" s="323">
        <v>8</v>
      </c>
      <c r="BR10" s="323">
        <v>8</v>
      </c>
      <c r="BS10" s="323">
        <v>19</v>
      </c>
      <c r="BT10" s="323">
        <v>6</v>
      </c>
      <c r="BU10" s="323">
        <v>78</v>
      </c>
      <c r="BV10" s="329" t="s">
        <v>934</v>
      </c>
      <c r="BW10" s="330">
        <v>381</v>
      </c>
      <c r="BX10" s="330">
        <v>183</v>
      </c>
      <c r="BY10" s="330">
        <v>265</v>
      </c>
      <c r="BZ10" s="330">
        <v>227</v>
      </c>
      <c r="CA10" s="330">
        <v>122</v>
      </c>
      <c r="CB10" s="330">
        <v>48</v>
      </c>
      <c r="CC10" s="330">
        <v>40</v>
      </c>
      <c r="CD10" s="330">
        <v>1</v>
      </c>
      <c r="CE10" s="328">
        <v>1267</v>
      </c>
      <c r="CF10" s="322" t="s">
        <v>934</v>
      </c>
      <c r="CG10" s="323">
        <v>483</v>
      </c>
      <c r="CH10" s="323">
        <v>92</v>
      </c>
      <c r="CI10" s="323">
        <v>95</v>
      </c>
      <c r="CJ10" s="323">
        <v>72</v>
      </c>
      <c r="CK10" s="323">
        <v>31</v>
      </c>
      <c r="CL10" s="323">
        <v>9</v>
      </c>
      <c r="CM10" s="323">
        <v>8</v>
      </c>
      <c r="CN10" s="323">
        <v>0</v>
      </c>
      <c r="CO10" s="323">
        <v>790</v>
      </c>
      <c r="CP10" s="329" t="s">
        <v>934</v>
      </c>
      <c r="CQ10" s="330">
        <v>0</v>
      </c>
      <c r="CR10" s="330">
        <v>0</v>
      </c>
      <c r="CS10" s="330">
        <v>0</v>
      </c>
      <c r="CT10" s="330">
        <v>0</v>
      </c>
      <c r="CU10" s="330">
        <v>0</v>
      </c>
      <c r="CV10" s="330">
        <v>0</v>
      </c>
      <c r="CW10" s="330">
        <v>0</v>
      </c>
      <c r="CX10" s="330">
        <v>0</v>
      </c>
      <c r="CY10" s="328">
        <v>0</v>
      </c>
      <c r="CZ10" s="322" t="s">
        <v>934</v>
      </c>
      <c r="DA10" s="323">
        <v>0</v>
      </c>
      <c r="DB10" s="323">
        <v>0</v>
      </c>
      <c r="DC10" s="323">
        <v>0</v>
      </c>
      <c r="DD10" s="323">
        <v>0</v>
      </c>
      <c r="DE10" s="323">
        <v>0</v>
      </c>
      <c r="DF10" s="323">
        <v>0</v>
      </c>
      <c r="DG10" s="323">
        <v>0</v>
      </c>
      <c r="DH10" s="323">
        <v>0</v>
      </c>
      <c r="DI10" s="323">
        <v>0</v>
      </c>
      <c r="DJ10" s="337">
        <v>0</v>
      </c>
      <c r="DK10" s="644">
        <v>31775.9</v>
      </c>
      <c r="DL10" s="614">
        <v>21849</v>
      </c>
      <c r="DM10" s="614">
        <v>6950</v>
      </c>
      <c r="DN10" s="614">
        <v>6704</v>
      </c>
      <c r="DO10" s="614">
        <v>4925</v>
      </c>
      <c r="DP10" s="614">
        <v>2728</v>
      </c>
      <c r="DQ10" s="614">
        <v>1036</v>
      </c>
      <c r="DR10" s="614">
        <v>472</v>
      </c>
      <c r="DS10" s="615">
        <v>26</v>
      </c>
      <c r="DT10" s="607">
        <f t="shared" si="0"/>
        <v>44690</v>
      </c>
      <c r="DU10" s="342"/>
      <c r="DV10" s="289"/>
      <c r="DW10" s="291" t="s">
        <v>955</v>
      </c>
      <c r="DX10" s="293">
        <v>1</v>
      </c>
      <c r="DY10" s="293"/>
      <c r="DZ10" s="302">
        <v>2</v>
      </c>
      <c r="EA10" s="292"/>
      <c r="EB10" s="123"/>
      <c r="EC10" s="646"/>
      <c r="ED10" s="123"/>
      <c r="EE10" s="123"/>
      <c r="EF10" s="123"/>
      <c r="EG10" s="124"/>
    </row>
    <row r="11" spans="1:137" ht="15">
      <c r="A11" s="22">
        <v>3</v>
      </c>
      <c r="B11" s="23" t="s">
        <v>126</v>
      </c>
      <c r="C11" s="24" t="s">
        <v>127</v>
      </c>
      <c r="D11" s="613"/>
      <c r="E11" s="629">
        <v>5520</v>
      </c>
      <c r="F11" s="629">
        <v>2978</v>
      </c>
      <c r="G11" s="629">
        <v>2275</v>
      </c>
      <c r="H11" s="629">
        <v>2046</v>
      </c>
      <c r="I11" s="629">
        <v>1594</v>
      </c>
      <c r="J11" s="629">
        <v>915</v>
      </c>
      <c r="K11" s="629">
        <v>396</v>
      </c>
      <c r="L11" s="629">
        <v>55</v>
      </c>
      <c r="M11" s="627">
        <v>15779</v>
      </c>
      <c r="N11" s="322"/>
      <c r="O11" s="323">
        <v>276</v>
      </c>
      <c r="P11" s="323">
        <v>183</v>
      </c>
      <c r="Q11" s="323">
        <v>80</v>
      </c>
      <c r="R11" s="323">
        <v>41</v>
      </c>
      <c r="S11" s="323">
        <v>24</v>
      </c>
      <c r="T11" s="323">
        <v>5</v>
      </c>
      <c r="U11" s="323">
        <v>4</v>
      </c>
      <c r="V11" s="323">
        <v>5</v>
      </c>
      <c r="W11" s="323">
        <v>618</v>
      </c>
      <c r="X11" s="329" t="s">
        <v>934</v>
      </c>
      <c r="Y11" s="330">
        <v>0</v>
      </c>
      <c r="Z11" s="330">
        <v>0</v>
      </c>
      <c r="AA11" s="330">
        <v>0</v>
      </c>
      <c r="AB11" s="330">
        <v>0</v>
      </c>
      <c r="AC11" s="330">
        <v>0</v>
      </c>
      <c r="AD11" s="330">
        <v>0</v>
      </c>
      <c r="AE11" s="330">
        <v>0</v>
      </c>
      <c r="AF11" s="330">
        <v>0</v>
      </c>
      <c r="AG11" s="328">
        <v>0</v>
      </c>
      <c r="AH11" s="329" t="s">
        <v>934</v>
      </c>
      <c r="AI11" s="184">
        <v>16</v>
      </c>
      <c r="AJ11" s="184">
        <v>14</v>
      </c>
      <c r="AK11" s="184">
        <v>11</v>
      </c>
      <c r="AL11" s="184">
        <v>17</v>
      </c>
      <c r="AM11" s="184">
        <v>15</v>
      </c>
      <c r="AN11" s="184">
        <v>12</v>
      </c>
      <c r="AO11" s="184">
        <v>9</v>
      </c>
      <c r="AP11" s="184">
        <v>8</v>
      </c>
      <c r="AQ11" s="336">
        <v>102</v>
      </c>
      <c r="AR11" s="323">
        <v>2</v>
      </c>
      <c r="AS11" s="323">
        <v>2424</v>
      </c>
      <c r="AT11" s="323">
        <v>864</v>
      </c>
      <c r="AU11" s="323">
        <v>581</v>
      </c>
      <c r="AV11" s="323">
        <v>441</v>
      </c>
      <c r="AW11" s="323">
        <v>283</v>
      </c>
      <c r="AX11" s="323">
        <v>114</v>
      </c>
      <c r="AY11" s="323">
        <v>42</v>
      </c>
      <c r="AZ11" s="323">
        <v>2</v>
      </c>
      <c r="BA11" s="323">
        <v>4753</v>
      </c>
      <c r="BB11" s="331">
        <v>0</v>
      </c>
      <c r="BC11" s="330">
        <v>32</v>
      </c>
      <c r="BD11" s="330">
        <v>19</v>
      </c>
      <c r="BE11" s="330">
        <v>15</v>
      </c>
      <c r="BF11" s="330">
        <v>9</v>
      </c>
      <c r="BG11" s="330">
        <v>10</v>
      </c>
      <c r="BH11" s="330">
        <v>3</v>
      </c>
      <c r="BI11" s="330">
        <v>10</v>
      </c>
      <c r="BJ11" s="330">
        <v>0</v>
      </c>
      <c r="BK11" s="328">
        <v>98</v>
      </c>
      <c r="BL11" s="323">
        <v>0</v>
      </c>
      <c r="BM11" s="323">
        <v>3</v>
      </c>
      <c r="BN11" s="323">
        <v>1</v>
      </c>
      <c r="BO11" s="323">
        <v>2</v>
      </c>
      <c r="BP11" s="323">
        <v>2</v>
      </c>
      <c r="BQ11" s="323">
        <v>0</v>
      </c>
      <c r="BR11" s="323">
        <v>7</v>
      </c>
      <c r="BS11" s="323">
        <v>7</v>
      </c>
      <c r="BT11" s="323">
        <v>1</v>
      </c>
      <c r="BU11" s="323">
        <v>23</v>
      </c>
      <c r="BV11" s="329" t="s">
        <v>934</v>
      </c>
      <c r="BW11" s="330">
        <v>183</v>
      </c>
      <c r="BX11" s="330">
        <v>143</v>
      </c>
      <c r="BY11" s="330">
        <v>174</v>
      </c>
      <c r="BZ11" s="330">
        <v>112</v>
      </c>
      <c r="CA11" s="330">
        <v>76</v>
      </c>
      <c r="CB11" s="330">
        <v>19</v>
      </c>
      <c r="CC11" s="330">
        <v>22</v>
      </c>
      <c r="CD11" s="330">
        <v>1</v>
      </c>
      <c r="CE11" s="328">
        <v>730</v>
      </c>
      <c r="CF11" s="322" t="s">
        <v>934</v>
      </c>
      <c r="CG11" s="323">
        <v>0</v>
      </c>
      <c r="CH11" s="323">
        <v>0</v>
      </c>
      <c r="CI11" s="323">
        <v>0</v>
      </c>
      <c r="CJ11" s="323">
        <v>0</v>
      </c>
      <c r="CK11" s="323">
        <v>0</v>
      </c>
      <c r="CL11" s="323">
        <v>0</v>
      </c>
      <c r="CM11" s="323">
        <v>0</v>
      </c>
      <c r="CN11" s="323">
        <v>0</v>
      </c>
      <c r="CO11" s="323">
        <v>0</v>
      </c>
      <c r="CP11" s="329" t="s">
        <v>934</v>
      </c>
      <c r="CQ11" s="330">
        <v>113</v>
      </c>
      <c r="CR11" s="330">
        <v>68</v>
      </c>
      <c r="CS11" s="330">
        <v>54</v>
      </c>
      <c r="CT11" s="330">
        <v>53</v>
      </c>
      <c r="CU11" s="330">
        <v>28</v>
      </c>
      <c r="CV11" s="330">
        <v>17</v>
      </c>
      <c r="CW11" s="330">
        <v>10</v>
      </c>
      <c r="CX11" s="330">
        <v>5</v>
      </c>
      <c r="CY11" s="328">
        <v>348</v>
      </c>
      <c r="CZ11" s="322" t="s">
        <v>934</v>
      </c>
      <c r="DA11" s="323">
        <v>113</v>
      </c>
      <c r="DB11" s="323">
        <v>68</v>
      </c>
      <c r="DC11" s="323">
        <v>54</v>
      </c>
      <c r="DD11" s="323">
        <v>53</v>
      </c>
      <c r="DE11" s="323">
        <v>28</v>
      </c>
      <c r="DF11" s="323">
        <v>17</v>
      </c>
      <c r="DG11" s="323">
        <v>10</v>
      </c>
      <c r="DH11" s="323">
        <v>5</v>
      </c>
      <c r="DI11" s="323">
        <v>348</v>
      </c>
      <c r="DJ11" s="337">
        <v>0</v>
      </c>
      <c r="DK11" s="644">
        <v>12433</v>
      </c>
      <c r="DL11" s="616">
        <v>5549</v>
      </c>
      <c r="DM11" s="616">
        <v>3006</v>
      </c>
      <c r="DN11" s="616">
        <v>2289</v>
      </c>
      <c r="DO11" s="616">
        <v>2116</v>
      </c>
      <c r="DP11" s="616">
        <v>1581</v>
      </c>
      <c r="DQ11" s="616">
        <v>943</v>
      </c>
      <c r="DR11" s="616">
        <v>406</v>
      </c>
      <c r="DS11" s="617">
        <v>55</v>
      </c>
      <c r="DT11" s="607">
        <f t="shared" si="0"/>
        <v>15945</v>
      </c>
      <c r="DU11" s="342"/>
      <c r="DV11" s="289"/>
      <c r="DW11" s="291" t="s">
        <v>956</v>
      </c>
      <c r="DX11" s="291">
        <v>2</v>
      </c>
      <c r="DY11" s="291"/>
      <c r="DZ11" s="303"/>
      <c r="EA11" s="294"/>
      <c r="EB11" s="125"/>
      <c r="EC11" s="646"/>
      <c r="ED11" s="125"/>
      <c r="EE11" s="125"/>
      <c r="EF11" s="125"/>
      <c r="EG11" s="124"/>
    </row>
    <row r="12" spans="1:137" ht="15">
      <c r="A12" s="22">
        <v>4</v>
      </c>
      <c r="B12" s="23" t="s">
        <v>128</v>
      </c>
      <c r="C12" s="24" t="s">
        <v>129</v>
      </c>
      <c r="D12" s="613"/>
      <c r="E12" s="629">
        <v>21025</v>
      </c>
      <c r="F12" s="629">
        <v>11120</v>
      </c>
      <c r="G12" s="629">
        <v>9369</v>
      </c>
      <c r="H12" s="629">
        <v>5757</v>
      </c>
      <c r="I12" s="629">
        <v>2806</v>
      </c>
      <c r="J12" s="629">
        <v>1437</v>
      </c>
      <c r="K12" s="629">
        <v>1337</v>
      </c>
      <c r="L12" s="629">
        <v>113</v>
      </c>
      <c r="M12" s="627">
        <v>52964</v>
      </c>
      <c r="N12" s="322"/>
      <c r="O12" s="323">
        <v>624</v>
      </c>
      <c r="P12" s="323">
        <v>229</v>
      </c>
      <c r="Q12" s="323">
        <v>149</v>
      </c>
      <c r="R12" s="323">
        <v>73</v>
      </c>
      <c r="S12" s="323">
        <v>50</v>
      </c>
      <c r="T12" s="323">
        <v>19</v>
      </c>
      <c r="U12" s="323">
        <v>23</v>
      </c>
      <c r="V12" s="323">
        <v>1</v>
      </c>
      <c r="W12" s="323">
        <v>1168</v>
      </c>
      <c r="X12" s="329" t="s">
        <v>934</v>
      </c>
      <c r="Y12" s="330">
        <v>0</v>
      </c>
      <c r="Z12" s="330">
        <v>0</v>
      </c>
      <c r="AA12" s="330">
        <v>0</v>
      </c>
      <c r="AB12" s="330">
        <v>0</v>
      </c>
      <c r="AC12" s="330">
        <v>0</v>
      </c>
      <c r="AD12" s="330">
        <v>0</v>
      </c>
      <c r="AE12" s="330">
        <v>0</v>
      </c>
      <c r="AF12" s="330">
        <v>0</v>
      </c>
      <c r="AG12" s="328">
        <v>0</v>
      </c>
      <c r="AH12" s="329" t="s">
        <v>934</v>
      </c>
      <c r="AI12" s="184">
        <v>71</v>
      </c>
      <c r="AJ12" s="184">
        <v>55</v>
      </c>
      <c r="AK12" s="184">
        <v>47</v>
      </c>
      <c r="AL12" s="184">
        <v>51</v>
      </c>
      <c r="AM12" s="184">
        <v>22</v>
      </c>
      <c r="AN12" s="184">
        <v>14</v>
      </c>
      <c r="AO12" s="184">
        <v>21</v>
      </c>
      <c r="AP12" s="184">
        <v>23</v>
      </c>
      <c r="AQ12" s="336">
        <v>304</v>
      </c>
      <c r="AR12" s="323">
        <v>23</v>
      </c>
      <c r="AS12" s="323">
        <v>8264</v>
      </c>
      <c r="AT12" s="323">
        <v>3183</v>
      </c>
      <c r="AU12" s="323">
        <v>2211</v>
      </c>
      <c r="AV12" s="323">
        <v>1005</v>
      </c>
      <c r="AW12" s="323">
        <v>450</v>
      </c>
      <c r="AX12" s="323">
        <v>219</v>
      </c>
      <c r="AY12" s="323">
        <v>163</v>
      </c>
      <c r="AZ12" s="323">
        <v>7</v>
      </c>
      <c r="BA12" s="323">
        <v>15525</v>
      </c>
      <c r="BB12" s="331">
        <v>1</v>
      </c>
      <c r="BC12" s="330">
        <v>165</v>
      </c>
      <c r="BD12" s="330">
        <v>105</v>
      </c>
      <c r="BE12" s="330">
        <v>83</v>
      </c>
      <c r="BF12" s="330">
        <v>54</v>
      </c>
      <c r="BG12" s="330">
        <v>23</v>
      </c>
      <c r="BH12" s="330">
        <v>11</v>
      </c>
      <c r="BI12" s="330">
        <v>10</v>
      </c>
      <c r="BJ12" s="330">
        <v>0</v>
      </c>
      <c r="BK12" s="328">
        <v>452</v>
      </c>
      <c r="BL12" s="323">
        <v>0</v>
      </c>
      <c r="BM12" s="323">
        <v>3</v>
      </c>
      <c r="BN12" s="323">
        <v>2</v>
      </c>
      <c r="BO12" s="323">
        <v>6</v>
      </c>
      <c r="BP12" s="323">
        <v>7</v>
      </c>
      <c r="BQ12" s="323">
        <v>4</v>
      </c>
      <c r="BR12" s="323">
        <v>11</v>
      </c>
      <c r="BS12" s="323">
        <v>25</v>
      </c>
      <c r="BT12" s="323">
        <v>3</v>
      </c>
      <c r="BU12" s="323">
        <v>61</v>
      </c>
      <c r="BV12" s="329" t="s">
        <v>934</v>
      </c>
      <c r="BW12" s="330">
        <v>0</v>
      </c>
      <c r="BX12" s="330">
        <v>0</v>
      </c>
      <c r="BY12" s="330">
        <v>0</v>
      </c>
      <c r="BZ12" s="330">
        <v>0</v>
      </c>
      <c r="CA12" s="330">
        <v>0</v>
      </c>
      <c r="CB12" s="330">
        <v>0</v>
      </c>
      <c r="CC12" s="330">
        <v>0</v>
      </c>
      <c r="CD12" s="330">
        <v>0</v>
      </c>
      <c r="CE12" s="328">
        <v>0</v>
      </c>
      <c r="CF12" s="322" t="s">
        <v>934</v>
      </c>
      <c r="CG12" s="323">
        <v>523</v>
      </c>
      <c r="CH12" s="323">
        <v>201</v>
      </c>
      <c r="CI12" s="323">
        <v>156</v>
      </c>
      <c r="CJ12" s="323">
        <v>96</v>
      </c>
      <c r="CK12" s="323">
        <v>46</v>
      </c>
      <c r="CL12" s="323">
        <v>25</v>
      </c>
      <c r="CM12" s="323">
        <v>20</v>
      </c>
      <c r="CN12" s="323">
        <v>3</v>
      </c>
      <c r="CO12" s="323">
        <v>1070</v>
      </c>
      <c r="CP12" s="329" t="s">
        <v>934</v>
      </c>
      <c r="CQ12" s="330">
        <v>0</v>
      </c>
      <c r="CR12" s="330">
        <v>0</v>
      </c>
      <c r="CS12" s="330">
        <v>0</v>
      </c>
      <c r="CT12" s="330">
        <v>0</v>
      </c>
      <c r="CU12" s="330">
        <v>0</v>
      </c>
      <c r="CV12" s="330">
        <v>0</v>
      </c>
      <c r="CW12" s="330">
        <v>0</v>
      </c>
      <c r="CX12" s="330">
        <v>0</v>
      </c>
      <c r="CY12" s="328">
        <v>0</v>
      </c>
      <c r="CZ12" s="322" t="s">
        <v>934</v>
      </c>
      <c r="DA12" s="323">
        <v>0</v>
      </c>
      <c r="DB12" s="323">
        <v>0</v>
      </c>
      <c r="DC12" s="323">
        <v>0</v>
      </c>
      <c r="DD12" s="323">
        <v>0</v>
      </c>
      <c r="DE12" s="323">
        <v>0</v>
      </c>
      <c r="DF12" s="323">
        <v>0</v>
      </c>
      <c r="DG12" s="323">
        <v>0</v>
      </c>
      <c r="DH12" s="323">
        <v>0</v>
      </c>
      <c r="DI12" s="323">
        <v>0</v>
      </c>
      <c r="DJ12" s="337">
        <v>1.2</v>
      </c>
      <c r="DK12" s="644">
        <v>40134.7</v>
      </c>
      <c r="DL12" s="616">
        <v>21150</v>
      </c>
      <c r="DM12" s="616">
        <v>11202</v>
      </c>
      <c r="DN12" s="616">
        <v>9502</v>
      </c>
      <c r="DO12" s="616">
        <v>5825</v>
      </c>
      <c r="DP12" s="616">
        <v>2852</v>
      </c>
      <c r="DQ12" s="616">
        <v>1456</v>
      </c>
      <c r="DR12" s="616">
        <v>1327</v>
      </c>
      <c r="DS12" s="617">
        <v>112</v>
      </c>
      <c r="DT12" s="607">
        <f t="shared" si="0"/>
        <v>53426</v>
      </c>
      <c r="DU12" s="342"/>
      <c r="DV12" s="289"/>
      <c r="DW12" s="295"/>
      <c r="DX12" s="295"/>
      <c r="DY12" s="295"/>
      <c r="DZ12" s="303"/>
      <c r="EA12" s="294"/>
      <c r="EB12" s="125"/>
      <c r="EC12" s="646"/>
      <c r="ED12" s="125"/>
      <c r="EE12" s="125"/>
      <c r="EF12" s="125"/>
      <c r="EG12" s="124"/>
    </row>
    <row r="13" spans="1:137" ht="15.75">
      <c r="A13" s="22">
        <v>5</v>
      </c>
      <c r="B13" s="23" t="s">
        <v>130</v>
      </c>
      <c r="C13" s="24" t="s">
        <v>131</v>
      </c>
      <c r="D13" s="613"/>
      <c r="E13" s="626">
        <v>6847</v>
      </c>
      <c r="F13" s="626">
        <v>11268</v>
      </c>
      <c r="G13" s="626">
        <v>18193</v>
      </c>
      <c r="H13" s="626">
        <v>13768</v>
      </c>
      <c r="I13" s="626">
        <v>9598</v>
      </c>
      <c r="J13" s="626">
        <v>5467</v>
      </c>
      <c r="K13" s="626">
        <v>2612</v>
      </c>
      <c r="L13" s="626">
        <v>256</v>
      </c>
      <c r="M13" s="627">
        <v>68009</v>
      </c>
      <c r="N13" s="322"/>
      <c r="O13" s="323">
        <v>290</v>
      </c>
      <c r="P13" s="323">
        <v>269</v>
      </c>
      <c r="Q13" s="323">
        <v>273</v>
      </c>
      <c r="R13" s="323">
        <v>238</v>
      </c>
      <c r="S13" s="323">
        <v>146</v>
      </c>
      <c r="T13" s="323">
        <v>51</v>
      </c>
      <c r="U13" s="323">
        <v>31</v>
      </c>
      <c r="V13" s="323">
        <v>4</v>
      </c>
      <c r="W13" s="323">
        <v>1302</v>
      </c>
      <c r="X13" s="331"/>
      <c r="Y13" s="330">
        <v>0</v>
      </c>
      <c r="Z13" s="330">
        <v>0</v>
      </c>
      <c r="AA13" s="330">
        <v>0</v>
      </c>
      <c r="AB13" s="330">
        <v>0</v>
      </c>
      <c r="AC13" s="330">
        <v>0</v>
      </c>
      <c r="AD13" s="330">
        <v>0</v>
      </c>
      <c r="AE13" s="330">
        <v>0</v>
      </c>
      <c r="AF13" s="330">
        <v>0</v>
      </c>
      <c r="AG13" s="328">
        <v>0</v>
      </c>
      <c r="AH13" s="331"/>
      <c r="AI13" s="184">
        <v>12</v>
      </c>
      <c r="AJ13" s="184">
        <v>45</v>
      </c>
      <c r="AK13" s="184">
        <v>116</v>
      </c>
      <c r="AL13" s="184">
        <v>115</v>
      </c>
      <c r="AM13" s="184">
        <v>134</v>
      </c>
      <c r="AN13" s="184">
        <v>72</v>
      </c>
      <c r="AO13" s="184">
        <v>48</v>
      </c>
      <c r="AP13" s="184">
        <v>27</v>
      </c>
      <c r="AQ13" s="336">
        <v>569</v>
      </c>
      <c r="AR13" s="323">
        <v>3</v>
      </c>
      <c r="AS13" s="323">
        <v>4014</v>
      </c>
      <c r="AT13" s="323">
        <v>5053</v>
      </c>
      <c r="AU13" s="323">
        <v>6351</v>
      </c>
      <c r="AV13" s="323">
        <v>4088</v>
      </c>
      <c r="AW13" s="323">
        <v>2271</v>
      </c>
      <c r="AX13" s="323">
        <v>1021</v>
      </c>
      <c r="AY13" s="323">
        <v>374</v>
      </c>
      <c r="AZ13" s="323">
        <v>21</v>
      </c>
      <c r="BA13" s="323">
        <v>23196</v>
      </c>
      <c r="BB13" s="331">
        <v>0</v>
      </c>
      <c r="BC13" s="330">
        <v>20</v>
      </c>
      <c r="BD13" s="330">
        <v>59</v>
      </c>
      <c r="BE13" s="330">
        <v>89</v>
      </c>
      <c r="BF13" s="330">
        <v>86</v>
      </c>
      <c r="BG13" s="330">
        <v>58</v>
      </c>
      <c r="BH13" s="330">
        <v>25</v>
      </c>
      <c r="BI13" s="330">
        <v>11</v>
      </c>
      <c r="BJ13" s="330">
        <v>0</v>
      </c>
      <c r="BK13" s="328">
        <v>348</v>
      </c>
      <c r="BL13" s="323">
        <v>0</v>
      </c>
      <c r="BM13" s="323">
        <v>1</v>
      </c>
      <c r="BN13" s="323">
        <v>8</v>
      </c>
      <c r="BO13" s="323">
        <v>13</v>
      </c>
      <c r="BP13" s="323">
        <v>18</v>
      </c>
      <c r="BQ13" s="323">
        <v>22</v>
      </c>
      <c r="BR13" s="323">
        <v>38</v>
      </c>
      <c r="BS13" s="323">
        <v>49</v>
      </c>
      <c r="BT13" s="323">
        <v>11</v>
      </c>
      <c r="BU13" s="323">
        <v>160</v>
      </c>
      <c r="BV13" s="331"/>
      <c r="BW13" s="330">
        <v>172</v>
      </c>
      <c r="BX13" s="330">
        <v>203</v>
      </c>
      <c r="BY13" s="330">
        <v>415</v>
      </c>
      <c r="BZ13" s="330">
        <v>358</v>
      </c>
      <c r="CA13" s="330">
        <v>202</v>
      </c>
      <c r="CB13" s="330">
        <v>136</v>
      </c>
      <c r="CC13" s="330">
        <v>108</v>
      </c>
      <c r="CD13" s="330">
        <v>21</v>
      </c>
      <c r="CE13" s="328">
        <v>1615</v>
      </c>
      <c r="CF13" s="323"/>
      <c r="CG13" s="323">
        <v>0</v>
      </c>
      <c r="CH13" s="323">
        <v>0</v>
      </c>
      <c r="CI13" s="323">
        <v>0</v>
      </c>
      <c r="CJ13" s="323">
        <v>0</v>
      </c>
      <c r="CK13" s="323">
        <v>0</v>
      </c>
      <c r="CL13" s="323">
        <v>0</v>
      </c>
      <c r="CM13" s="323">
        <v>0</v>
      </c>
      <c r="CN13" s="323">
        <v>0</v>
      </c>
      <c r="CO13" s="323">
        <v>0</v>
      </c>
      <c r="CP13" s="331">
        <v>0</v>
      </c>
      <c r="CQ13" s="330">
        <v>96</v>
      </c>
      <c r="CR13" s="330">
        <v>94</v>
      </c>
      <c r="CS13" s="330">
        <v>103</v>
      </c>
      <c r="CT13" s="330">
        <v>86</v>
      </c>
      <c r="CU13" s="330">
        <v>41</v>
      </c>
      <c r="CV13" s="330">
        <v>27</v>
      </c>
      <c r="CW13" s="330">
        <v>22</v>
      </c>
      <c r="CX13" s="330">
        <v>4</v>
      </c>
      <c r="CY13" s="328">
        <v>473</v>
      </c>
      <c r="CZ13" s="323">
        <v>0</v>
      </c>
      <c r="DA13" s="323">
        <v>0</v>
      </c>
      <c r="DB13" s="323">
        <v>0</v>
      </c>
      <c r="DC13" s="323">
        <v>0</v>
      </c>
      <c r="DD13" s="323">
        <v>0</v>
      </c>
      <c r="DE13" s="323">
        <v>0</v>
      </c>
      <c r="DF13" s="323">
        <v>0</v>
      </c>
      <c r="DG13" s="323">
        <v>0</v>
      </c>
      <c r="DH13" s="323">
        <v>0</v>
      </c>
      <c r="DI13" s="323">
        <v>0</v>
      </c>
      <c r="DJ13" s="337">
        <v>0</v>
      </c>
      <c r="DK13" s="644">
        <v>60123.3</v>
      </c>
      <c r="DL13" s="614">
        <v>6982</v>
      </c>
      <c r="DM13" s="614">
        <v>11362</v>
      </c>
      <c r="DN13" s="614">
        <v>18213</v>
      </c>
      <c r="DO13" s="614">
        <v>13845</v>
      </c>
      <c r="DP13" s="614">
        <v>9657</v>
      </c>
      <c r="DQ13" s="614">
        <v>5448</v>
      </c>
      <c r="DR13" s="614">
        <v>2605</v>
      </c>
      <c r="DS13" s="615">
        <v>257</v>
      </c>
      <c r="DT13" s="607">
        <f t="shared" si="0"/>
        <v>68369</v>
      </c>
      <c r="DU13" s="342"/>
      <c r="DV13" s="289"/>
      <c r="DW13" s="290" t="s">
        <v>960</v>
      </c>
      <c r="DX13" s="291"/>
      <c r="DY13" s="291"/>
      <c r="DZ13" s="304"/>
      <c r="EA13" s="296"/>
      <c r="EB13" s="126"/>
      <c r="EC13" s="646"/>
      <c r="ED13" s="126"/>
      <c r="EE13" s="126"/>
      <c r="EF13" s="126"/>
      <c r="EG13" s="124"/>
    </row>
    <row r="14" spans="1:137" ht="15">
      <c r="A14" s="22">
        <v>6</v>
      </c>
      <c r="B14" s="23" t="s">
        <v>132</v>
      </c>
      <c r="C14" s="24" t="s">
        <v>133</v>
      </c>
      <c r="D14" s="613"/>
      <c r="E14" s="630">
        <v>28063</v>
      </c>
      <c r="F14" s="630">
        <v>10080</v>
      </c>
      <c r="G14" s="630">
        <v>7469</v>
      </c>
      <c r="H14" s="630">
        <v>3209</v>
      </c>
      <c r="I14" s="630">
        <v>979</v>
      </c>
      <c r="J14" s="630">
        <v>370</v>
      </c>
      <c r="K14" s="630">
        <v>144</v>
      </c>
      <c r="L14" s="630">
        <v>23</v>
      </c>
      <c r="M14" s="627">
        <v>50337</v>
      </c>
      <c r="N14" s="322"/>
      <c r="O14" s="323">
        <v>688</v>
      </c>
      <c r="P14" s="323">
        <v>174</v>
      </c>
      <c r="Q14" s="323">
        <v>92</v>
      </c>
      <c r="R14" s="323">
        <v>29</v>
      </c>
      <c r="S14" s="323">
        <v>11</v>
      </c>
      <c r="T14" s="323">
        <v>8</v>
      </c>
      <c r="U14" s="323">
        <v>3</v>
      </c>
      <c r="V14" s="323">
        <v>0</v>
      </c>
      <c r="W14" s="323">
        <v>1005</v>
      </c>
      <c r="X14" s="329" t="s">
        <v>934</v>
      </c>
      <c r="Y14" s="330">
        <v>0</v>
      </c>
      <c r="Z14" s="330">
        <v>0</v>
      </c>
      <c r="AA14" s="330">
        <v>0</v>
      </c>
      <c r="AB14" s="330">
        <v>0</v>
      </c>
      <c r="AC14" s="330">
        <v>0</v>
      </c>
      <c r="AD14" s="330">
        <v>0</v>
      </c>
      <c r="AE14" s="330">
        <v>0</v>
      </c>
      <c r="AF14" s="330">
        <v>0</v>
      </c>
      <c r="AG14" s="328">
        <v>0</v>
      </c>
      <c r="AH14" s="329" t="s">
        <v>934</v>
      </c>
      <c r="AI14" s="184">
        <v>55</v>
      </c>
      <c r="AJ14" s="184">
        <v>68</v>
      </c>
      <c r="AK14" s="184">
        <v>60</v>
      </c>
      <c r="AL14" s="184">
        <v>23</v>
      </c>
      <c r="AM14" s="184">
        <v>5</v>
      </c>
      <c r="AN14" s="184">
        <v>11</v>
      </c>
      <c r="AO14" s="184">
        <v>15</v>
      </c>
      <c r="AP14" s="184">
        <v>10</v>
      </c>
      <c r="AQ14" s="336">
        <v>247</v>
      </c>
      <c r="AR14" s="323">
        <v>13</v>
      </c>
      <c r="AS14" s="323">
        <v>11361</v>
      </c>
      <c r="AT14" s="323">
        <v>2631</v>
      </c>
      <c r="AU14" s="323">
        <v>1551</v>
      </c>
      <c r="AV14" s="323">
        <v>450</v>
      </c>
      <c r="AW14" s="323">
        <v>123</v>
      </c>
      <c r="AX14" s="323">
        <v>39</v>
      </c>
      <c r="AY14" s="323">
        <v>12</v>
      </c>
      <c r="AZ14" s="323">
        <v>1</v>
      </c>
      <c r="BA14" s="323">
        <v>16181</v>
      </c>
      <c r="BB14" s="331">
        <v>0</v>
      </c>
      <c r="BC14" s="330">
        <v>229</v>
      </c>
      <c r="BD14" s="330">
        <v>81</v>
      </c>
      <c r="BE14" s="330">
        <v>65</v>
      </c>
      <c r="BF14" s="330">
        <v>30</v>
      </c>
      <c r="BG14" s="330">
        <v>5</v>
      </c>
      <c r="BH14" s="330">
        <v>5</v>
      </c>
      <c r="BI14" s="330">
        <v>0</v>
      </c>
      <c r="BJ14" s="330">
        <v>0</v>
      </c>
      <c r="BK14" s="328">
        <v>415</v>
      </c>
      <c r="BL14" s="323">
        <v>2</v>
      </c>
      <c r="BM14" s="323">
        <v>14</v>
      </c>
      <c r="BN14" s="323">
        <v>5</v>
      </c>
      <c r="BO14" s="323">
        <v>9</v>
      </c>
      <c r="BP14" s="323">
        <v>4</v>
      </c>
      <c r="BQ14" s="323">
        <v>2</v>
      </c>
      <c r="BR14" s="323">
        <v>13</v>
      </c>
      <c r="BS14" s="323">
        <v>13</v>
      </c>
      <c r="BT14" s="323">
        <v>7</v>
      </c>
      <c r="BU14" s="323">
        <v>69</v>
      </c>
      <c r="BV14" s="329" t="s">
        <v>934</v>
      </c>
      <c r="BW14" s="330">
        <v>44</v>
      </c>
      <c r="BX14" s="330">
        <v>21</v>
      </c>
      <c r="BY14" s="330">
        <v>11</v>
      </c>
      <c r="BZ14" s="330">
        <v>4</v>
      </c>
      <c r="CA14" s="330">
        <v>5</v>
      </c>
      <c r="CB14" s="330">
        <v>1</v>
      </c>
      <c r="CC14" s="330">
        <v>0</v>
      </c>
      <c r="CD14" s="330">
        <v>0</v>
      </c>
      <c r="CE14" s="328">
        <v>86</v>
      </c>
      <c r="CF14" s="322" t="s">
        <v>934</v>
      </c>
      <c r="CG14" s="323">
        <v>688</v>
      </c>
      <c r="CH14" s="323">
        <v>123</v>
      </c>
      <c r="CI14" s="323">
        <v>85</v>
      </c>
      <c r="CJ14" s="323">
        <v>31</v>
      </c>
      <c r="CK14" s="323">
        <v>11</v>
      </c>
      <c r="CL14" s="323">
        <v>4</v>
      </c>
      <c r="CM14" s="323">
        <v>2</v>
      </c>
      <c r="CN14" s="323">
        <v>1</v>
      </c>
      <c r="CO14" s="323">
        <v>945</v>
      </c>
      <c r="CP14" s="329" t="s">
        <v>934</v>
      </c>
      <c r="CQ14" s="330">
        <v>0</v>
      </c>
      <c r="CR14" s="330">
        <v>0</v>
      </c>
      <c r="CS14" s="330">
        <v>0</v>
      </c>
      <c r="CT14" s="330">
        <v>0</v>
      </c>
      <c r="CU14" s="330">
        <v>0</v>
      </c>
      <c r="CV14" s="330">
        <v>0</v>
      </c>
      <c r="CW14" s="330">
        <v>0</v>
      </c>
      <c r="CX14" s="330">
        <v>0</v>
      </c>
      <c r="CY14" s="328">
        <v>0</v>
      </c>
      <c r="CZ14" s="322" t="s">
        <v>934</v>
      </c>
      <c r="DA14" s="323">
        <v>0</v>
      </c>
      <c r="DB14" s="323">
        <v>0</v>
      </c>
      <c r="DC14" s="323">
        <v>0</v>
      </c>
      <c r="DD14" s="323">
        <v>0</v>
      </c>
      <c r="DE14" s="323">
        <v>0</v>
      </c>
      <c r="DF14" s="323">
        <v>0</v>
      </c>
      <c r="DG14" s="323">
        <v>0</v>
      </c>
      <c r="DH14" s="323">
        <v>0</v>
      </c>
      <c r="DI14" s="323">
        <v>0</v>
      </c>
      <c r="DJ14" s="337">
        <v>0</v>
      </c>
      <c r="DK14" s="644">
        <v>34227.7</v>
      </c>
      <c r="DL14" s="614">
        <v>28233</v>
      </c>
      <c r="DM14" s="614">
        <v>10277</v>
      </c>
      <c r="DN14" s="614">
        <v>7547</v>
      </c>
      <c r="DO14" s="614">
        <v>3330</v>
      </c>
      <c r="DP14" s="614">
        <v>965</v>
      </c>
      <c r="DQ14" s="614">
        <v>364</v>
      </c>
      <c r="DR14" s="614">
        <v>142</v>
      </c>
      <c r="DS14" s="615">
        <v>22</v>
      </c>
      <c r="DT14" s="607">
        <f t="shared" si="0"/>
        <v>50880</v>
      </c>
      <c r="DU14" s="342"/>
      <c r="DV14" s="289"/>
      <c r="DW14" s="291" t="s">
        <v>955</v>
      </c>
      <c r="DX14" s="293">
        <v>1</v>
      </c>
      <c r="DY14" s="293"/>
      <c r="DZ14" s="305">
        <v>2</v>
      </c>
      <c r="EA14" s="296"/>
      <c r="EB14" s="127"/>
      <c r="EC14" s="646"/>
      <c r="ED14" s="127"/>
      <c r="EE14" s="127"/>
      <c r="EF14" s="127"/>
      <c r="EG14" s="124"/>
    </row>
    <row r="15" spans="1:137" ht="15">
      <c r="A15" s="22">
        <v>7</v>
      </c>
      <c r="B15" s="23" t="s">
        <v>134</v>
      </c>
      <c r="C15" s="24" t="s">
        <v>135</v>
      </c>
      <c r="D15" s="613"/>
      <c r="E15" s="626">
        <v>3596</v>
      </c>
      <c r="F15" s="626">
        <v>11058</v>
      </c>
      <c r="G15" s="626">
        <v>11588</v>
      </c>
      <c r="H15" s="626">
        <v>7438</v>
      </c>
      <c r="I15" s="626">
        <v>6126</v>
      </c>
      <c r="J15" s="626">
        <v>4795</v>
      </c>
      <c r="K15" s="626">
        <v>2947</v>
      </c>
      <c r="L15" s="626">
        <v>195</v>
      </c>
      <c r="M15" s="627">
        <v>47743</v>
      </c>
      <c r="N15" s="322"/>
      <c r="O15" s="323">
        <v>241</v>
      </c>
      <c r="P15" s="323">
        <v>312</v>
      </c>
      <c r="Q15" s="323">
        <v>262</v>
      </c>
      <c r="R15" s="323">
        <v>165</v>
      </c>
      <c r="S15" s="323">
        <v>122</v>
      </c>
      <c r="T15" s="323">
        <v>51</v>
      </c>
      <c r="U15" s="323">
        <v>38</v>
      </c>
      <c r="V15" s="323">
        <v>14</v>
      </c>
      <c r="W15" s="323">
        <v>1205</v>
      </c>
      <c r="X15" s="329" t="s">
        <v>934</v>
      </c>
      <c r="Y15" s="330">
        <v>0</v>
      </c>
      <c r="Z15" s="330">
        <v>0</v>
      </c>
      <c r="AA15" s="330">
        <v>0</v>
      </c>
      <c r="AB15" s="330">
        <v>0</v>
      </c>
      <c r="AC15" s="330">
        <v>0</v>
      </c>
      <c r="AD15" s="330">
        <v>0</v>
      </c>
      <c r="AE15" s="330">
        <v>0</v>
      </c>
      <c r="AF15" s="330">
        <v>0</v>
      </c>
      <c r="AG15" s="328">
        <v>0</v>
      </c>
      <c r="AH15" s="329" t="s">
        <v>934</v>
      </c>
      <c r="AI15" s="184">
        <v>12</v>
      </c>
      <c r="AJ15" s="184">
        <v>50</v>
      </c>
      <c r="AK15" s="184">
        <v>54</v>
      </c>
      <c r="AL15" s="184">
        <v>30</v>
      </c>
      <c r="AM15" s="184">
        <v>53</v>
      </c>
      <c r="AN15" s="184">
        <v>47</v>
      </c>
      <c r="AO15" s="184">
        <v>33</v>
      </c>
      <c r="AP15" s="184">
        <v>11</v>
      </c>
      <c r="AQ15" s="336">
        <v>290</v>
      </c>
      <c r="AR15" s="323">
        <v>4</v>
      </c>
      <c r="AS15" s="323">
        <v>1834</v>
      </c>
      <c r="AT15" s="323">
        <v>4026</v>
      </c>
      <c r="AU15" s="323">
        <v>3405</v>
      </c>
      <c r="AV15" s="323">
        <v>1827</v>
      </c>
      <c r="AW15" s="323">
        <v>1174</v>
      </c>
      <c r="AX15" s="323">
        <v>619</v>
      </c>
      <c r="AY15" s="323">
        <v>324</v>
      </c>
      <c r="AZ15" s="323">
        <v>17</v>
      </c>
      <c r="BA15" s="323">
        <v>13230</v>
      </c>
      <c r="BB15" s="331">
        <v>0</v>
      </c>
      <c r="BC15" s="330">
        <v>21</v>
      </c>
      <c r="BD15" s="330">
        <v>74</v>
      </c>
      <c r="BE15" s="330">
        <v>83</v>
      </c>
      <c r="BF15" s="330">
        <v>57</v>
      </c>
      <c r="BG15" s="330">
        <v>35</v>
      </c>
      <c r="BH15" s="330">
        <v>26</v>
      </c>
      <c r="BI15" s="330">
        <v>18</v>
      </c>
      <c r="BJ15" s="330">
        <v>1</v>
      </c>
      <c r="BK15" s="328">
        <v>315</v>
      </c>
      <c r="BL15" s="323">
        <v>5</v>
      </c>
      <c r="BM15" s="323">
        <v>5</v>
      </c>
      <c r="BN15" s="323">
        <v>8</v>
      </c>
      <c r="BO15" s="323">
        <v>6</v>
      </c>
      <c r="BP15" s="323">
        <v>11</v>
      </c>
      <c r="BQ15" s="323">
        <v>6</v>
      </c>
      <c r="BR15" s="323">
        <v>17</v>
      </c>
      <c r="BS15" s="323">
        <v>21</v>
      </c>
      <c r="BT15" s="323">
        <v>4</v>
      </c>
      <c r="BU15" s="323">
        <v>83</v>
      </c>
      <c r="BV15" s="329" t="s">
        <v>934</v>
      </c>
      <c r="BW15" s="330">
        <v>32</v>
      </c>
      <c r="BX15" s="330">
        <v>53</v>
      </c>
      <c r="BY15" s="330">
        <v>49</v>
      </c>
      <c r="BZ15" s="330">
        <v>58</v>
      </c>
      <c r="CA15" s="330">
        <v>54</v>
      </c>
      <c r="CB15" s="330">
        <v>34</v>
      </c>
      <c r="CC15" s="330">
        <v>42</v>
      </c>
      <c r="CD15" s="330">
        <v>8</v>
      </c>
      <c r="CE15" s="328">
        <v>330</v>
      </c>
      <c r="CF15" s="322" t="s">
        <v>934</v>
      </c>
      <c r="CG15" s="323">
        <v>18</v>
      </c>
      <c r="CH15" s="323">
        <v>0</v>
      </c>
      <c r="CI15" s="323">
        <v>1</v>
      </c>
      <c r="CJ15" s="323">
        <v>2</v>
      </c>
      <c r="CK15" s="323">
        <v>1</v>
      </c>
      <c r="CL15" s="323">
        <v>0</v>
      </c>
      <c r="CM15" s="323">
        <v>0</v>
      </c>
      <c r="CN15" s="323">
        <v>0</v>
      </c>
      <c r="CO15" s="323">
        <v>22</v>
      </c>
      <c r="CP15" s="329" t="s">
        <v>934</v>
      </c>
      <c r="CQ15" s="330">
        <v>72</v>
      </c>
      <c r="CR15" s="330">
        <v>108</v>
      </c>
      <c r="CS15" s="330">
        <v>102</v>
      </c>
      <c r="CT15" s="330">
        <v>79</v>
      </c>
      <c r="CU15" s="330">
        <v>47</v>
      </c>
      <c r="CV15" s="330">
        <v>37</v>
      </c>
      <c r="CW15" s="330">
        <v>27</v>
      </c>
      <c r="CX15" s="330">
        <v>4</v>
      </c>
      <c r="CY15" s="328">
        <v>476</v>
      </c>
      <c r="CZ15" s="322" t="s">
        <v>934</v>
      </c>
      <c r="DA15" s="323">
        <v>0</v>
      </c>
      <c r="DB15" s="323">
        <v>0</v>
      </c>
      <c r="DC15" s="323">
        <v>0</v>
      </c>
      <c r="DD15" s="323">
        <v>0</v>
      </c>
      <c r="DE15" s="323">
        <v>0</v>
      </c>
      <c r="DF15" s="323">
        <v>0</v>
      </c>
      <c r="DG15" s="323">
        <v>0</v>
      </c>
      <c r="DH15" s="323">
        <v>0</v>
      </c>
      <c r="DI15" s="323">
        <v>0</v>
      </c>
      <c r="DJ15" s="337">
        <v>0</v>
      </c>
      <c r="DK15" s="644">
        <v>43937.5</v>
      </c>
      <c r="DL15" s="614">
        <v>3636</v>
      </c>
      <c r="DM15" s="614">
        <v>11119</v>
      </c>
      <c r="DN15" s="614">
        <v>11670</v>
      </c>
      <c r="DO15" s="614">
        <v>7540</v>
      </c>
      <c r="DP15" s="614">
        <v>6147</v>
      </c>
      <c r="DQ15" s="614">
        <v>4813</v>
      </c>
      <c r="DR15" s="614">
        <v>2961</v>
      </c>
      <c r="DS15" s="615">
        <v>195</v>
      </c>
      <c r="DT15" s="607">
        <f t="shared" si="0"/>
        <v>48081</v>
      </c>
      <c r="DU15" s="342"/>
      <c r="DV15" s="289"/>
      <c r="DW15" s="291" t="s">
        <v>956</v>
      </c>
      <c r="DX15" s="291">
        <v>2</v>
      </c>
      <c r="DY15" s="291"/>
      <c r="DZ15" s="301"/>
      <c r="EA15" s="292"/>
      <c r="EB15" s="123"/>
      <c r="EC15" s="646"/>
      <c r="ED15" s="123"/>
      <c r="EE15" s="123"/>
      <c r="EF15" s="123"/>
      <c r="EG15" s="124"/>
    </row>
    <row r="16" spans="1:137" ht="15">
      <c r="A16" s="22">
        <v>8</v>
      </c>
      <c r="B16" s="23" t="s">
        <v>136</v>
      </c>
      <c r="C16" s="24" t="s">
        <v>137</v>
      </c>
      <c r="D16" s="613"/>
      <c r="E16" s="629">
        <v>2727</v>
      </c>
      <c r="F16" s="629">
        <v>11182</v>
      </c>
      <c r="G16" s="629">
        <v>19375</v>
      </c>
      <c r="H16" s="629">
        <v>11734</v>
      </c>
      <c r="I16" s="629">
        <v>9990</v>
      </c>
      <c r="J16" s="629">
        <v>7259</v>
      </c>
      <c r="K16" s="629">
        <v>5539</v>
      </c>
      <c r="L16" s="629">
        <v>370</v>
      </c>
      <c r="M16" s="627">
        <v>68176</v>
      </c>
      <c r="N16" s="322"/>
      <c r="O16" s="323">
        <v>226</v>
      </c>
      <c r="P16" s="323">
        <v>368</v>
      </c>
      <c r="Q16" s="323">
        <v>402</v>
      </c>
      <c r="R16" s="323">
        <v>416</v>
      </c>
      <c r="S16" s="323">
        <v>155</v>
      </c>
      <c r="T16" s="323">
        <v>181</v>
      </c>
      <c r="U16" s="323">
        <v>103</v>
      </c>
      <c r="V16" s="323">
        <v>18</v>
      </c>
      <c r="W16" s="323">
        <v>1869</v>
      </c>
      <c r="X16" s="329" t="s">
        <v>934</v>
      </c>
      <c r="Y16" s="330">
        <v>0</v>
      </c>
      <c r="Z16" s="330">
        <v>0</v>
      </c>
      <c r="AA16" s="330">
        <v>0</v>
      </c>
      <c r="AB16" s="330">
        <v>1</v>
      </c>
      <c r="AC16" s="330">
        <v>3</v>
      </c>
      <c r="AD16" s="330">
        <v>0</v>
      </c>
      <c r="AE16" s="330">
        <v>1</v>
      </c>
      <c r="AF16" s="330">
        <v>0</v>
      </c>
      <c r="AG16" s="328">
        <v>5</v>
      </c>
      <c r="AH16" s="329" t="s">
        <v>934</v>
      </c>
      <c r="AI16" s="184">
        <v>6</v>
      </c>
      <c r="AJ16" s="184">
        <v>70</v>
      </c>
      <c r="AK16" s="184">
        <v>129</v>
      </c>
      <c r="AL16" s="184">
        <v>81</v>
      </c>
      <c r="AM16" s="184">
        <v>74</v>
      </c>
      <c r="AN16" s="184">
        <v>74</v>
      </c>
      <c r="AO16" s="184">
        <v>61</v>
      </c>
      <c r="AP16" s="184">
        <v>19</v>
      </c>
      <c r="AQ16" s="336">
        <v>514</v>
      </c>
      <c r="AR16" s="323">
        <v>6</v>
      </c>
      <c r="AS16" s="323">
        <v>1635</v>
      </c>
      <c r="AT16" s="323">
        <v>5178</v>
      </c>
      <c r="AU16" s="323">
        <v>6342</v>
      </c>
      <c r="AV16" s="323">
        <v>2913</v>
      </c>
      <c r="AW16" s="323">
        <v>1930</v>
      </c>
      <c r="AX16" s="323">
        <v>1062</v>
      </c>
      <c r="AY16" s="323">
        <v>558</v>
      </c>
      <c r="AZ16" s="323">
        <v>28</v>
      </c>
      <c r="BA16" s="323">
        <v>19652</v>
      </c>
      <c r="BB16" s="331">
        <v>0</v>
      </c>
      <c r="BC16" s="330">
        <v>6</v>
      </c>
      <c r="BD16" s="330">
        <v>72</v>
      </c>
      <c r="BE16" s="330">
        <v>104</v>
      </c>
      <c r="BF16" s="330">
        <v>73</v>
      </c>
      <c r="BG16" s="330">
        <v>40</v>
      </c>
      <c r="BH16" s="330">
        <v>30</v>
      </c>
      <c r="BI16" s="330">
        <v>23</v>
      </c>
      <c r="BJ16" s="330">
        <v>6</v>
      </c>
      <c r="BK16" s="328">
        <v>354</v>
      </c>
      <c r="BL16" s="323">
        <v>0</v>
      </c>
      <c r="BM16" s="323">
        <v>2</v>
      </c>
      <c r="BN16" s="323">
        <v>4</v>
      </c>
      <c r="BO16" s="323">
        <v>10</v>
      </c>
      <c r="BP16" s="323">
        <v>5</v>
      </c>
      <c r="BQ16" s="323">
        <v>6</v>
      </c>
      <c r="BR16" s="323">
        <v>17</v>
      </c>
      <c r="BS16" s="323">
        <v>12</v>
      </c>
      <c r="BT16" s="323">
        <v>6</v>
      </c>
      <c r="BU16" s="323">
        <v>62</v>
      </c>
      <c r="BV16" s="329" t="s">
        <v>934</v>
      </c>
      <c r="BW16" s="330">
        <v>32</v>
      </c>
      <c r="BX16" s="330">
        <v>55</v>
      </c>
      <c r="BY16" s="330">
        <v>75</v>
      </c>
      <c r="BZ16" s="330">
        <v>38</v>
      </c>
      <c r="CA16" s="330">
        <v>43</v>
      </c>
      <c r="CB16" s="330">
        <v>32</v>
      </c>
      <c r="CC16" s="330">
        <v>45</v>
      </c>
      <c r="CD16" s="330">
        <v>5</v>
      </c>
      <c r="CE16" s="328">
        <v>325</v>
      </c>
      <c r="CF16" s="322" t="s">
        <v>934</v>
      </c>
      <c r="CG16" s="323">
        <v>57</v>
      </c>
      <c r="CH16" s="323">
        <v>86</v>
      </c>
      <c r="CI16" s="323">
        <v>125</v>
      </c>
      <c r="CJ16" s="323">
        <v>68</v>
      </c>
      <c r="CK16" s="323">
        <v>44</v>
      </c>
      <c r="CL16" s="323">
        <v>24</v>
      </c>
      <c r="CM16" s="323">
        <v>31</v>
      </c>
      <c r="CN16" s="323">
        <v>10</v>
      </c>
      <c r="CO16" s="323">
        <v>445</v>
      </c>
      <c r="CP16" s="329" t="s">
        <v>934</v>
      </c>
      <c r="CQ16" s="330">
        <v>0</v>
      </c>
      <c r="CR16" s="330">
        <v>0</v>
      </c>
      <c r="CS16" s="330">
        <v>0</v>
      </c>
      <c r="CT16" s="330">
        <v>0</v>
      </c>
      <c r="CU16" s="330">
        <v>0</v>
      </c>
      <c r="CV16" s="330">
        <v>0</v>
      </c>
      <c r="CW16" s="330">
        <v>0</v>
      </c>
      <c r="CX16" s="330">
        <v>0</v>
      </c>
      <c r="CY16" s="328">
        <v>0</v>
      </c>
      <c r="CZ16" s="322" t="s">
        <v>934</v>
      </c>
      <c r="DA16" s="323">
        <v>0</v>
      </c>
      <c r="DB16" s="323">
        <v>0</v>
      </c>
      <c r="DC16" s="323">
        <v>0</v>
      </c>
      <c r="DD16" s="323">
        <v>0</v>
      </c>
      <c r="DE16" s="323">
        <v>0</v>
      </c>
      <c r="DF16" s="323">
        <v>0</v>
      </c>
      <c r="DG16" s="323">
        <v>0</v>
      </c>
      <c r="DH16" s="323">
        <v>0</v>
      </c>
      <c r="DI16" s="323">
        <v>0</v>
      </c>
      <c r="DJ16" s="337">
        <v>427.6</v>
      </c>
      <c r="DK16" s="644">
        <v>65483.6</v>
      </c>
      <c r="DL16" s="616">
        <v>2781</v>
      </c>
      <c r="DM16" s="616">
        <v>11317</v>
      </c>
      <c r="DN16" s="616">
        <v>19616</v>
      </c>
      <c r="DO16" s="616">
        <v>11814</v>
      </c>
      <c r="DP16" s="616">
        <v>10042</v>
      </c>
      <c r="DQ16" s="616">
        <v>7279</v>
      </c>
      <c r="DR16" s="616">
        <v>5615</v>
      </c>
      <c r="DS16" s="617">
        <v>366</v>
      </c>
      <c r="DT16" s="607">
        <f t="shared" si="0"/>
        <v>68830</v>
      </c>
      <c r="DU16" s="342"/>
      <c r="DV16" s="289"/>
      <c r="DW16" s="291" t="s">
        <v>957</v>
      </c>
      <c r="DX16" s="291">
        <v>3</v>
      </c>
      <c r="DY16" s="291"/>
      <c r="DZ16" s="303"/>
      <c r="EA16" s="294"/>
      <c r="EB16" s="125"/>
      <c r="EC16" s="646"/>
      <c r="ED16" s="125"/>
      <c r="EE16" s="125"/>
      <c r="EF16" s="125"/>
      <c r="EG16" s="124"/>
    </row>
    <row r="17" spans="1:137" ht="15">
      <c r="A17" s="22">
        <v>9</v>
      </c>
      <c r="B17" s="23" t="s">
        <v>138</v>
      </c>
      <c r="C17" s="24" t="s">
        <v>139</v>
      </c>
      <c r="D17" s="613"/>
      <c r="E17" s="628">
        <v>4300</v>
      </c>
      <c r="F17" s="628">
        <v>11059</v>
      </c>
      <c r="G17" s="628">
        <v>7741</v>
      </c>
      <c r="H17" s="628">
        <v>6782</v>
      </c>
      <c r="I17" s="628">
        <v>3906</v>
      </c>
      <c r="J17" s="628">
        <v>2022</v>
      </c>
      <c r="K17" s="628">
        <v>1549</v>
      </c>
      <c r="L17" s="628">
        <v>171</v>
      </c>
      <c r="M17" s="627">
        <v>37530</v>
      </c>
      <c r="N17" s="322"/>
      <c r="O17" s="323">
        <v>234</v>
      </c>
      <c r="P17" s="323">
        <v>215</v>
      </c>
      <c r="Q17" s="323">
        <v>345</v>
      </c>
      <c r="R17" s="323">
        <v>158</v>
      </c>
      <c r="S17" s="323">
        <v>69</v>
      </c>
      <c r="T17" s="323">
        <v>37</v>
      </c>
      <c r="U17" s="323">
        <v>13</v>
      </c>
      <c r="V17" s="323">
        <v>2</v>
      </c>
      <c r="W17" s="323">
        <v>1073</v>
      </c>
      <c r="X17" s="329" t="s">
        <v>934</v>
      </c>
      <c r="Y17" s="330">
        <v>12</v>
      </c>
      <c r="Z17" s="330">
        <v>1</v>
      </c>
      <c r="AA17" s="330">
        <v>1</v>
      </c>
      <c r="AB17" s="330">
        <v>0</v>
      </c>
      <c r="AC17" s="330">
        <v>1</v>
      </c>
      <c r="AD17" s="330">
        <v>0</v>
      </c>
      <c r="AE17" s="330">
        <v>0</v>
      </c>
      <c r="AF17" s="330">
        <v>0</v>
      </c>
      <c r="AG17" s="328">
        <v>15</v>
      </c>
      <c r="AH17" s="329" t="s">
        <v>934</v>
      </c>
      <c r="AI17" s="184">
        <v>5</v>
      </c>
      <c r="AJ17" s="184">
        <v>57</v>
      </c>
      <c r="AK17" s="184">
        <v>36</v>
      </c>
      <c r="AL17" s="184">
        <v>66</v>
      </c>
      <c r="AM17" s="184">
        <v>45</v>
      </c>
      <c r="AN17" s="184">
        <v>22</v>
      </c>
      <c r="AO17" s="184">
        <v>22</v>
      </c>
      <c r="AP17" s="184">
        <v>9</v>
      </c>
      <c r="AQ17" s="336">
        <v>262</v>
      </c>
      <c r="AR17" s="323">
        <v>2</v>
      </c>
      <c r="AS17" s="323">
        <v>2348</v>
      </c>
      <c r="AT17" s="323">
        <v>3869</v>
      </c>
      <c r="AU17" s="323">
        <v>2246</v>
      </c>
      <c r="AV17" s="323">
        <v>1445</v>
      </c>
      <c r="AW17" s="323">
        <v>635</v>
      </c>
      <c r="AX17" s="323">
        <v>273</v>
      </c>
      <c r="AY17" s="323">
        <v>186</v>
      </c>
      <c r="AZ17" s="323">
        <v>20</v>
      </c>
      <c r="BA17" s="323">
        <v>11024</v>
      </c>
      <c r="BB17" s="331">
        <v>0</v>
      </c>
      <c r="BC17" s="330">
        <v>11</v>
      </c>
      <c r="BD17" s="330">
        <v>58</v>
      </c>
      <c r="BE17" s="330">
        <v>44</v>
      </c>
      <c r="BF17" s="330">
        <v>38</v>
      </c>
      <c r="BG17" s="330">
        <v>14</v>
      </c>
      <c r="BH17" s="330">
        <v>7</v>
      </c>
      <c r="BI17" s="330">
        <v>5</v>
      </c>
      <c r="BJ17" s="330">
        <v>0</v>
      </c>
      <c r="BK17" s="328">
        <v>177</v>
      </c>
      <c r="BL17" s="323">
        <v>0</v>
      </c>
      <c r="BM17" s="323">
        <v>0</v>
      </c>
      <c r="BN17" s="323">
        <v>5</v>
      </c>
      <c r="BO17" s="323">
        <v>1</v>
      </c>
      <c r="BP17" s="323">
        <v>3</v>
      </c>
      <c r="BQ17" s="323">
        <v>2</v>
      </c>
      <c r="BR17" s="323">
        <v>8</v>
      </c>
      <c r="BS17" s="323">
        <v>10</v>
      </c>
      <c r="BT17" s="323">
        <v>3</v>
      </c>
      <c r="BU17" s="323">
        <v>32</v>
      </c>
      <c r="BV17" s="329" t="s">
        <v>934</v>
      </c>
      <c r="BW17" s="330">
        <v>56</v>
      </c>
      <c r="BX17" s="330">
        <v>80</v>
      </c>
      <c r="BY17" s="330">
        <v>82</v>
      </c>
      <c r="BZ17" s="330">
        <v>63</v>
      </c>
      <c r="CA17" s="330">
        <v>50</v>
      </c>
      <c r="CB17" s="330">
        <v>36</v>
      </c>
      <c r="CC17" s="330">
        <v>51</v>
      </c>
      <c r="CD17" s="330">
        <v>9</v>
      </c>
      <c r="CE17" s="328">
        <v>427</v>
      </c>
      <c r="CF17" s="322" t="s">
        <v>934</v>
      </c>
      <c r="CG17" s="323">
        <v>0</v>
      </c>
      <c r="CH17" s="323">
        <v>0</v>
      </c>
      <c r="CI17" s="323">
        <v>0</v>
      </c>
      <c r="CJ17" s="323">
        <v>0</v>
      </c>
      <c r="CK17" s="323">
        <v>0</v>
      </c>
      <c r="CL17" s="323">
        <v>0</v>
      </c>
      <c r="CM17" s="323">
        <v>0</v>
      </c>
      <c r="CN17" s="323">
        <v>0</v>
      </c>
      <c r="CO17" s="323">
        <v>0</v>
      </c>
      <c r="CP17" s="329" t="s">
        <v>934</v>
      </c>
      <c r="CQ17" s="330">
        <v>107</v>
      </c>
      <c r="CR17" s="330">
        <v>92</v>
      </c>
      <c r="CS17" s="330">
        <v>70</v>
      </c>
      <c r="CT17" s="330">
        <v>59</v>
      </c>
      <c r="CU17" s="330">
        <v>30</v>
      </c>
      <c r="CV17" s="330">
        <v>16</v>
      </c>
      <c r="CW17" s="330">
        <v>16</v>
      </c>
      <c r="CX17" s="330">
        <v>5</v>
      </c>
      <c r="CY17" s="328">
        <v>395</v>
      </c>
      <c r="CZ17" s="322" t="s">
        <v>934</v>
      </c>
      <c r="DA17" s="323">
        <v>0</v>
      </c>
      <c r="DB17" s="323">
        <v>0</v>
      </c>
      <c r="DC17" s="323">
        <v>0</v>
      </c>
      <c r="DD17" s="323">
        <v>0</v>
      </c>
      <c r="DE17" s="323">
        <v>0</v>
      </c>
      <c r="DF17" s="323">
        <v>0</v>
      </c>
      <c r="DG17" s="323">
        <v>0</v>
      </c>
      <c r="DH17" s="323">
        <v>0</v>
      </c>
      <c r="DI17" s="323">
        <v>0</v>
      </c>
      <c r="DJ17" s="337">
        <v>230.9</v>
      </c>
      <c r="DK17" s="644">
        <v>32303.4</v>
      </c>
      <c r="DL17" s="614">
        <v>4352</v>
      </c>
      <c r="DM17" s="614">
        <v>11144</v>
      </c>
      <c r="DN17" s="614">
        <v>7799</v>
      </c>
      <c r="DO17" s="614">
        <v>6848</v>
      </c>
      <c r="DP17" s="614">
        <v>3929</v>
      </c>
      <c r="DQ17" s="614">
        <v>2047</v>
      </c>
      <c r="DR17" s="614">
        <v>1554</v>
      </c>
      <c r="DS17" s="615">
        <v>175</v>
      </c>
      <c r="DT17" s="607">
        <f t="shared" si="0"/>
        <v>37848</v>
      </c>
      <c r="DU17" s="342"/>
      <c r="DV17" s="289"/>
      <c r="DW17" s="295"/>
      <c r="DX17" s="295"/>
      <c r="DY17" s="295"/>
      <c r="DZ17" s="304"/>
      <c r="EA17" s="296"/>
      <c r="EB17" s="126"/>
      <c r="EC17" s="646"/>
      <c r="ED17" s="126"/>
      <c r="EE17" s="126"/>
      <c r="EF17" s="126"/>
      <c r="EG17" s="124"/>
    </row>
    <row r="18" spans="1:137" ht="15.75">
      <c r="A18" s="22">
        <v>10</v>
      </c>
      <c r="B18" s="23" t="s">
        <v>140</v>
      </c>
      <c r="C18" s="24" t="s">
        <v>141</v>
      </c>
      <c r="D18" s="613"/>
      <c r="E18" s="626">
        <v>7360</v>
      </c>
      <c r="F18" s="626">
        <v>10341</v>
      </c>
      <c r="G18" s="626">
        <v>41803</v>
      </c>
      <c r="H18" s="626">
        <v>8036</v>
      </c>
      <c r="I18" s="626">
        <v>1700</v>
      </c>
      <c r="J18" s="626">
        <v>315</v>
      </c>
      <c r="K18" s="626">
        <v>49</v>
      </c>
      <c r="L18" s="626">
        <v>22</v>
      </c>
      <c r="M18" s="627">
        <v>69626</v>
      </c>
      <c r="N18" s="322"/>
      <c r="O18" s="323">
        <v>529</v>
      </c>
      <c r="P18" s="323">
        <v>648</v>
      </c>
      <c r="Q18" s="323">
        <v>1350</v>
      </c>
      <c r="R18" s="323">
        <v>233</v>
      </c>
      <c r="S18" s="323">
        <v>41</v>
      </c>
      <c r="T18" s="323">
        <v>7</v>
      </c>
      <c r="U18" s="323">
        <v>5</v>
      </c>
      <c r="V18" s="323">
        <v>3</v>
      </c>
      <c r="W18" s="323">
        <v>2816</v>
      </c>
      <c r="X18" s="329" t="s">
        <v>934</v>
      </c>
      <c r="Y18" s="330">
        <v>0</v>
      </c>
      <c r="Z18" s="330">
        <v>0</v>
      </c>
      <c r="AA18" s="330">
        <v>0</v>
      </c>
      <c r="AB18" s="330">
        <v>0</v>
      </c>
      <c r="AC18" s="330">
        <v>0</v>
      </c>
      <c r="AD18" s="330">
        <v>0</v>
      </c>
      <c r="AE18" s="330">
        <v>0</v>
      </c>
      <c r="AF18" s="330">
        <v>0</v>
      </c>
      <c r="AG18" s="328">
        <v>0</v>
      </c>
      <c r="AH18" s="329" t="s">
        <v>934</v>
      </c>
      <c r="AI18" s="184">
        <v>6</v>
      </c>
      <c r="AJ18" s="184">
        <v>13</v>
      </c>
      <c r="AK18" s="184">
        <v>207</v>
      </c>
      <c r="AL18" s="184">
        <v>55</v>
      </c>
      <c r="AM18" s="184">
        <v>18</v>
      </c>
      <c r="AN18" s="184">
        <v>4</v>
      </c>
      <c r="AO18" s="184">
        <v>7</v>
      </c>
      <c r="AP18" s="184">
        <v>13</v>
      </c>
      <c r="AQ18" s="336">
        <v>323</v>
      </c>
      <c r="AR18" s="323">
        <v>3</v>
      </c>
      <c r="AS18" s="323">
        <v>4483</v>
      </c>
      <c r="AT18" s="323">
        <v>5658</v>
      </c>
      <c r="AU18" s="323">
        <v>15612</v>
      </c>
      <c r="AV18" s="323">
        <v>2230</v>
      </c>
      <c r="AW18" s="323">
        <v>424</v>
      </c>
      <c r="AX18" s="323">
        <v>44</v>
      </c>
      <c r="AY18" s="323">
        <v>3</v>
      </c>
      <c r="AZ18" s="323">
        <v>0</v>
      </c>
      <c r="BA18" s="323">
        <v>28457</v>
      </c>
      <c r="BB18" s="331">
        <v>0</v>
      </c>
      <c r="BC18" s="330">
        <v>37</v>
      </c>
      <c r="BD18" s="330">
        <v>107</v>
      </c>
      <c r="BE18" s="330">
        <v>418</v>
      </c>
      <c r="BF18" s="330">
        <v>77</v>
      </c>
      <c r="BG18" s="330">
        <v>11</v>
      </c>
      <c r="BH18" s="330">
        <v>2</v>
      </c>
      <c r="BI18" s="330">
        <v>1</v>
      </c>
      <c r="BJ18" s="330">
        <v>0</v>
      </c>
      <c r="BK18" s="328">
        <v>653</v>
      </c>
      <c r="BL18" s="323">
        <v>0</v>
      </c>
      <c r="BM18" s="323">
        <v>2</v>
      </c>
      <c r="BN18" s="323">
        <v>3</v>
      </c>
      <c r="BO18" s="323">
        <v>13</v>
      </c>
      <c r="BP18" s="323">
        <v>6</v>
      </c>
      <c r="BQ18" s="323">
        <v>4</v>
      </c>
      <c r="BR18" s="323">
        <v>6</v>
      </c>
      <c r="BS18" s="323">
        <v>12</v>
      </c>
      <c r="BT18" s="323">
        <v>1</v>
      </c>
      <c r="BU18" s="323">
        <v>47</v>
      </c>
      <c r="BV18" s="329" t="s">
        <v>934</v>
      </c>
      <c r="BW18" s="330">
        <v>2</v>
      </c>
      <c r="BX18" s="330">
        <v>4</v>
      </c>
      <c r="BY18" s="330">
        <v>15</v>
      </c>
      <c r="BZ18" s="330">
        <v>4</v>
      </c>
      <c r="CA18" s="330">
        <v>0</v>
      </c>
      <c r="CB18" s="330">
        <v>0</v>
      </c>
      <c r="CC18" s="330">
        <v>0</v>
      </c>
      <c r="CD18" s="330">
        <v>0</v>
      </c>
      <c r="CE18" s="328">
        <v>25</v>
      </c>
      <c r="CF18" s="322" t="s">
        <v>934</v>
      </c>
      <c r="CG18" s="323">
        <v>343</v>
      </c>
      <c r="CH18" s="323">
        <v>147</v>
      </c>
      <c r="CI18" s="323">
        <v>312</v>
      </c>
      <c r="CJ18" s="323">
        <v>65</v>
      </c>
      <c r="CK18" s="323">
        <v>13</v>
      </c>
      <c r="CL18" s="323">
        <v>5</v>
      </c>
      <c r="CM18" s="323">
        <v>6</v>
      </c>
      <c r="CN18" s="323">
        <v>2</v>
      </c>
      <c r="CO18" s="323">
        <v>893</v>
      </c>
      <c r="CP18" s="329" t="s">
        <v>934</v>
      </c>
      <c r="CQ18" s="330">
        <v>0</v>
      </c>
      <c r="CR18" s="330">
        <v>0</v>
      </c>
      <c r="CS18" s="330">
        <v>0</v>
      </c>
      <c r="CT18" s="330">
        <v>0</v>
      </c>
      <c r="CU18" s="330">
        <v>0</v>
      </c>
      <c r="CV18" s="330">
        <v>0</v>
      </c>
      <c r="CW18" s="330">
        <v>0</v>
      </c>
      <c r="CX18" s="330">
        <v>0</v>
      </c>
      <c r="CY18" s="328">
        <v>0</v>
      </c>
      <c r="CZ18" s="322" t="s">
        <v>934</v>
      </c>
      <c r="DA18" s="323">
        <v>0</v>
      </c>
      <c r="DB18" s="323">
        <v>0</v>
      </c>
      <c r="DC18" s="323">
        <v>0</v>
      </c>
      <c r="DD18" s="323">
        <v>0</v>
      </c>
      <c r="DE18" s="323">
        <v>0</v>
      </c>
      <c r="DF18" s="323">
        <v>0</v>
      </c>
      <c r="DG18" s="323">
        <v>0</v>
      </c>
      <c r="DH18" s="323">
        <v>0</v>
      </c>
      <c r="DI18" s="323">
        <v>0</v>
      </c>
      <c r="DJ18" s="337">
        <v>0</v>
      </c>
      <c r="DK18" s="644">
        <v>51830.9</v>
      </c>
      <c r="DL18" s="614">
        <v>7355</v>
      </c>
      <c r="DM18" s="614">
        <v>10436</v>
      </c>
      <c r="DN18" s="614">
        <v>42011</v>
      </c>
      <c r="DO18" s="614">
        <v>8086</v>
      </c>
      <c r="DP18" s="614">
        <v>1690</v>
      </c>
      <c r="DQ18" s="614">
        <v>321</v>
      </c>
      <c r="DR18" s="614">
        <v>45</v>
      </c>
      <c r="DS18" s="615">
        <v>22</v>
      </c>
      <c r="DT18" s="607">
        <f t="shared" si="0"/>
        <v>69966</v>
      </c>
      <c r="DU18" s="342"/>
      <c r="DV18" s="289"/>
      <c r="DW18" s="290" t="s">
        <v>958</v>
      </c>
      <c r="DX18" s="291"/>
      <c r="DY18" s="291"/>
      <c r="DZ18" s="301"/>
      <c r="EA18" s="292"/>
      <c r="EB18" s="123"/>
      <c r="EC18" s="646"/>
      <c r="ED18" s="123"/>
      <c r="EE18" s="123"/>
      <c r="EF18" s="123"/>
      <c r="EG18" s="124"/>
    </row>
    <row r="19" spans="1:137" ht="15">
      <c r="A19" s="22">
        <v>11</v>
      </c>
      <c r="B19" s="23" t="s">
        <v>142</v>
      </c>
      <c r="C19" s="24" t="s">
        <v>143</v>
      </c>
      <c r="D19" s="613"/>
      <c r="E19" s="626">
        <v>1835</v>
      </c>
      <c r="F19" s="626">
        <v>8896</v>
      </c>
      <c r="G19" s="626">
        <v>26001</v>
      </c>
      <c r="H19" s="626">
        <v>30247</v>
      </c>
      <c r="I19" s="626">
        <v>29169</v>
      </c>
      <c r="J19" s="626">
        <v>18705</v>
      </c>
      <c r="K19" s="626">
        <v>15489</v>
      </c>
      <c r="L19" s="626">
        <v>3742</v>
      </c>
      <c r="M19" s="627">
        <v>134084</v>
      </c>
      <c r="N19" s="322"/>
      <c r="O19" s="323">
        <v>122</v>
      </c>
      <c r="P19" s="323">
        <v>369</v>
      </c>
      <c r="Q19" s="323">
        <v>1074</v>
      </c>
      <c r="R19" s="323">
        <v>945</v>
      </c>
      <c r="S19" s="323">
        <v>656</v>
      </c>
      <c r="T19" s="323">
        <v>401</v>
      </c>
      <c r="U19" s="323">
        <v>340</v>
      </c>
      <c r="V19" s="323">
        <v>110</v>
      </c>
      <c r="W19" s="323">
        <v>4017</v>
      </c>
      <c r="X19" s="329" t="s">
        <v>934</v>
      </c>
      <c r="Y19" s="330">
        <v>23</v>
      </c>
      <c r="Z19" s="330">
        <v>24</v>
      </c>
      <c r="AA19" s="330">
        <v>53</v>
      </c>
      <c r="AB19" s="330">
        <v>12</v>
      </c>
      <c r="AC19" s="330">
        <v>6</v>
      </c>
      <c r="AD19" s="330">
        <v>2</v>
      </c>
      <c r="AE19" s="330">
        <v>2</v>
      </c>
      <c r="AF19" s="330">
        <v>1</v>
      </c>
      <c r="AG19" s="328">
        <v>123</v>
      </c>
      <c r="AH19" s="329" t="s">
        <v>934</v>
      </c>
      <c r="AI19" s="184">
        <v>1</v>
      </c>
      <c r="AJ19" s="184">
        <v>8</v>
      </c>
      <c r="AK19" s="184">
        <v>34</v>
      </c>
      <c r="AL19" s="184">
        <v>99</v>
      </c>
      <c r="AM19" s="184">
        <v>140</v>
      </c>
      <c r="AN19" s="184">
        <v>130</v>
      </c>
      <c r="AO19" s="184">
        <v>140</v>
      </c>
      <c r="AP19" s="184">
        <v>45</v>
      </c>
      <c r="AQ19" s="336">
        <v>597</v>
      </c>
      <c r="AR19" s="323">
        <v>1</v>
      </c>
      <c r="AS19" s="323">
        <v>1108</v>
      </c>
      <c r="AT19" s="323">
        <v>5453</v>
      </c>
      <c r="AU19" s="323">
        <v>12598</v>
      </c>
      <c r="AV19" s="323">
        <v>11190</v>
      </c>
      <c r="AW19" s="323">
        <v>8016</v>
      </c>
      <c r="AX19" s="323">
        <v>4012</v>
      </c>
      <c r="AY19" s="323">
        <v>2352</v>
      </c>
      <c r="AZ19" s="323">
        <v>328</v>
      </c>
      <c r="BA19" s="323">
        <v>45058</v>
      </c>
      <c r="BB19" s="331">
        <v>0</v>
      </c>
      <c r="BC19" s="330">
        <v>4</v>
      </c>
      <c r="BD19" s="330">
        <v>54</v>
      </c>
      <c r="BE19" s="330">
        <v>263</v>
      </c>
      <c r="BF19" s="330">
        <v>352</v>
      </c>
      <c r="BG19" s="330">
        <v>301</v>
      </c>
      <c r="BH19" s="330">
        <v>152</v>
      </c>
      <c r="BI19" s="330">
        <v>98</v>
      </c>
      <c r="BJ19" s="330">
        <v>25</v>
      </c>
      <c r="BK19" s="328">
        <v>1249</v>
      </c>
      <c r="BL19" s="323">
        <v>0</v>
      </c>
      <c r="BM19" s="323">
        <v>0</v>
      </c>
      <c r="BN19" s="323">
        <v>1</v>
      </c>
      <c r="BO19" s="323">
        <v>10</v>
      </c>
      <c r="BP19" s="323">
        <v>20</v>
      </c>
      <c r="BQ19" s="323">
        <v>19</v>
      </c>
      <c r="BR19" s="323">
        <v>53</v>
      </c>
      <c r="BS19" s="323">
        <v>77</v>
      </c>
      <c r="BT19" s="323">
        <v>39</v>
      </c>
      <c r="BU19" s="323">
        <v>219</v>
      </c>
      <c r="BV19" s="329" t="s">
        <v>934</v>
      </c>
      <c r="BW19" s="330">
        <v>58</v>
      </c>
      <c r="BX19" s="330">
        <v>240</v>
      </c>
      <c r="BY19" s="330">
        <v>767</v>
      </c>
      <c r="BZ19" s="330">
        <v>668</v>
      </c>
      <c r="CA19" s="330">
        <v>490</v>
      </c>
      <c r="CB19" s="330">
        <v>303</v>
      </c>
      <c r="CC19" s="330">
        <v>238</v>
      </c>
      <c r="CD19" s="330">
        <v>98</v>
      </c>
      <c r="CE19" s="328">
        <v>2862</v>
      </c>
      <c r="CF19" s="322" t="s">
        <v>934</v>
      </c>
      <c r="CG19" s="323">
        <v>125</v>
      </c>
      <c r="CH19" s="323">
        <v>119</v>
      </c>
      <c r="CI19" s="323">
        <v>312</v>
      </c>
      <c r="CJ19" s="323">
        <v>298</v>
      </c>
      <c r="CK19" s="323">
        <v>287</v>
      </c>
      <c r="CL19" s="323">
        <v>189</v>
      </c>
      <c r="CM19" s="323">
        <v>196</v>
      </c>
      <c r="CN19" s="323">
        <v>78</v>
      </c>
      <c r="CO19" s="323">
        <v>1604</v>
      </c>
      <c r="CP19" s="329" t="s">
        <v>934</v>
      </c>
      <c r="CQ19" s="330">
        <v>0</v>
      </c>
      <c r="CR19" s="330">
        <v>0</v>
      </c>
      <c r="CS19" s="330">
        <v>0</v>
      </c>
      <c r="CT19" s="330">
        <v>0</v>
      </c>
      <c r="CU19" s="330">
        <v>0</v>
      </c>
      <c r="CV19" s="330">
        <v>0</v>
      </c>
      <c r="CW19" s="330">
        <v>0</v>
      </c>
      <c r="CX19" s="330">
        <v>0</v>
      </c>
      <c r="CY19" s="328">
        <v>0</v>
      </c>
      <c r="CZ19" s="322" t="s">
        <v>934</v>
      </c>
      <c r="DA19" s="323">
        <v>0</v>
      </c>
      <c r="DB19" s="323">
        <v>0</v>
      </c>
      <c r="DC19" s="323">
        <v>0</v>
      </c>
      <c r="DD19" s="323">
        <v>0</v>
      </c>
      <c r="DE19" s="323">
        <v>0</v>
      </c>
      <c r="DF19" s="323">
        <v>0</v>
      </c>
      <c r="DG19" s="323">
        <v>0</v>
      </c>
      <c r="DH19" s="323">
        <v>0</v>
      </c>
      <c r="DI19" s="323">
        <v>0</v>
      </c>
      <c r="DJ19" s="337">
        <v>283</v>
      </c>
      <c r="DK19" s="644">
        <v>138145.9</v>
      </c>
      <c r="DL19" s="614">
        <v>1857</v>
      </c>
      <c r="DM19" s="614">
        <v>8958</v>
      </c>
      <c r="DN19" s="614">
        <v>26097</v>
      </c>
      <c r="DO19" s="614">
        <v>30445</v>
      </c>
      <c r="DP19" s="614">
        <v>29485</v>
      </c>
      <c r="DQ19" s="614">
        <v>18745</v>
      </c>
      <c r="DR19" s="614">
        <v>15549</v>
      </c>
      <c r="DS19" s="615">
        <v>3757</v>
      </c>
      <c r="DT19" s="607">
        <f t="shared" si="0"/>
        <v>134893</v>
      </c>
      <c r="DU19" s="342"/>
      <c r="DV19" s="289"/>
      <c r="DW19" s="291" t="s">
        <v>955</v>
      </c>
      <c r="DX19" s="293">
        <v>1</v>
      </c>
      <c r="DY19" s="293"/>
      <c r="DZ19" s="302">
        <f>IF('CTB Supplementary Form'!F129="yes",1,2)</f>
        <v>1</v>
      </c>
      <c r="EA19" s="292"/>
      <c r="EB19" s="123"/>
      <c r="EC19" s="646"/>
      <c r="ED19" s="123"/>
      <c r="EE19" s="123"/>
      <c r="EF19" s="123"/>
      <c r="EG19" s="124"/>
    </row>
    <row r="20" spans="1:137" ht="15">
      <c r="A20" s="22">
        <v>12</v>
      </c>
      <c r="B20" s="23" t="s">
        <v>144</v>
      </c>
      <c r="C20" s="24" t="s">
        <v>145</v>
      </c>
      <c r="D20" s="613"/>
      <c r="E20" s="626">
        <v>62788</v>
      </c>
      <c r="F20" s="626">
        <v>15292</v>
      </c>
      <c r="G20" s="626">
        <v>10873</v>
      </c>
      <c r="H20" s="626">
        <v>7555</v>
      </c>
      <c r="I20" s="626">
        <v>3131</v>
      </c>
      <c r="J20" s="626">
        <v>1208</v>
      </c>
      <c r="K20" s="626">
        <v>563</v>
      </c>
      <c r="L20" s="626">
        <v>35</v>
      </c>
      <c r="M20" s="627">
        <v>101445</v>
      </c>
      <c r="N20" s="322"/>
      <c r="O20" s="323">
        <v>1525</v>
      </c>
      <c r="P20" s="323">
        <v>245</v>
      </c>
      <c r="Q20" s="323">
        <v>170</v>
      </c>
      <c r="R20" s="323">
        <v>78</v>
      </c>
      <c r="S20" s="323">
        <v>46</v>
      </c>
      <c r="T20" s="323">
        <v>15</v>
      </c>
      <c r="U20" s="323">
        <v>11</v>
      </c>
      <c r="V20" s="323">
        <v>1</v>
      </c>
      <c r="W20" s="323">
        <v>2091</v>
      </c>
      <c r="X20" s="329" t="s">
        <v>934</v>
      </c>
      <c r="Y20" s="330">
        <v>0</v>
      </c>
      <c r="Z20" s="330">
        <v>0</v>
      </c>
      <c r="AA20" s="330">
        <v>0</v>
      </c>
      <c r="AB20" s="330">
        <v>0</v>
      </c>
      <c r="AC20" s="330">
        <v>0</v>
      </c>
      <c r="AD20" s="330">
        <v>0</v>
      </c>
      <c r="AE20" s="330">
        <v>0</v>
      </c>
      <c r="AF20" s="330">
        <v>0</v>
      </c>
      <c r="AG20" s="328">
        <v>0</v>
      </c>
      <c r="AH20" s="329" t="s">
        <v>934</v>
      </c>
      <c r="AI20" s="184">
        <v>426</v>
      </c>
      <c r="AJ20" s="184">
        <v>105</v>
      </c>
      <c r="AK20" s="184">
        <v>90</v>
      </c>
      <c r="AL20" s="184">
        <v>58</v>
      </c>
      <c r="AM20" s="184">
        <v>26</v>
      </c>
      <c r="AN20" s="184">
        <v>10</v>
      </c>
      <c r="AO20" s="184">
        <v>17</v>
      </c>
      <c r="AP20" s="184">
        <v>13</v>
      </c>
      <c r="AQ20" s="336">
        <v>745</v>
      </c>
      <c r="AR20" s="323">
        <v>120</v>
      </c>
      <c r="AS20" s="323">
        <v>26226</v>
      </c>
      <c r="AT20" s="323">
        <v>4094</v>
      </c>
      <c r="AU20" s="323">
        <v>2391</v>
      </c>
      <c r="AV20" s="323">
        <v>1253</v>
      </c>
      <c r="AW20" s="323">
        <v>391</v>
      </c>
      <c r="AX20" s="323">
        <v>135</v>
      </c>
      <c r="AY20" s="323">
        <v>61</v>
      </c>
      <c r="AZ20" s="323">
        <v>2</v>
      </c>
      <c r="BA20" s="323">
        <v>34673</v>
      </c>
      <c r="BB20" s="331">
        <v>9</v>
      </c>
      <c r="BC20" s="330">
        <v>377</v>
      </c>
      <c r="BD20" s="330">
        <v>82</v>
      </c>
      <c r="BE20" s="330">
        <v>49</v>
      </c>
      <c r="BF20" s="330">
        <v>58</v>
      </c>
      <c r="BG20" s="330">
        <v>16</v>
      </c>
      <c r="BH20" s="330">
        <v>5</v>
      </c>
      <c r="BI20" s="330">
        <v>3</v>
      </c>
      <c r="BJ20" s="330">
        <v>0</v>
      </c>
      <c r="BK20" s="328">
        <v>599</v>
      </c>
      <c r="BL20" s="323">
        <v>0</v>
      </c>
      <c r="BM20" s="323">
        <v>18</v>
      </c>
      <c r="BN20" s="323">
        <v>3</v>
      </c>
      <c r="BO20" s="323">
        <v>2</v>
      </c>
      <c r="BP20" s="323">
        <v>8</v>
      </c>
      <c r="BQ20" s="323">
        <v>8</v>
      </c>
      <c r="BR20" s="323">
        <v>17</v>
      </c>
      <c r="BS20" s="323">
        <v>25</v>
      </c>
      <c r="BT20" s="323">
        <v>7</v>
      </c>
      <c r="BU20" s="323">
        <v>88</v>
      </c>
      <c r="BV20" s="329" t="s">
        <v>934</v>
      </c>
      <c r="BW20" s="330">
        <v>51</v>
      </c>
      <c r="BX20" s="330">
        <v>16</v>
      </c>
      <c r="BY20" s="330">
        <v>12</v>
      </c>
      <c r="BZ20" s="330">
        <v>5</v>
      </c>
      <c r="CA20" s="330">
        <v>8</v>
      </c>
      <c r="CB20" s="330">
        <v>1</v>
      </c>
      <c r="CC20" s="330">
        <v>2</v>
      </c>
      <c r="CD20" s="330">
        <v>0</v>
      </c>
      <c r="CE20" s="328">
        <v>95</v>
      </c>
      <c r="CF20" s="322" t="s">
        <v>934</v>
      </c>
      <c r="CG20" s="323">
        <v>249</v>
      </c>
      <c r="CH20" s="323">
        <v>57</v>
      </c>
      <c r="CI20" s="323">
        <v>29</v>
      </c>
      <c r="CJ20" s="323">
        <v>20</v>
      </c>
      <c r="CK20" s="323">
        <v>15</v>
      </c>
      <c r="CL20" s="323">
        <v>3</v>
      </c>
      <c r="CM20" s="323">
        <v>6</v>
      </c>
      <c r="CN20" s="323">
        <v>0</v>
      </c>
      <c r="CO20" s="323">
        <v>379</v>
      </c>
      <c r="CP20" s="329" t="s">
        <v>934</v>
      </c>
      <c r="CQ20" s="330">
        <v>1097</v>
      </c>
      <c r="CR20" s="330">
        <v>143</v>
      </c>
      <c r="CS20" s="330">
        <v>101</v>
      </c>
      <c r="CT20" s="330">
        <v>56</v>
      </c>
      <c r="CU20" s="330">
        <v>35</v>
      </c>
      <c r="CV20" s="330">
        <v>16</v>
      </c>
      <c r="CW20" s="330">
        <v>11</v>
      </c>
      <c r="CX20" s="330">
        <v>1</v>
      </c>
      <c r="CY20" s="328">
        <v>1460</v>
      </c>
      <c r="CZ20" s="322" t="s">
        <v>934</v>
      </c>
      <c r="DA20" s="323">
        <v>0</v>
      </c>
      <c r="DB20" s="323">
        <v>0</v>
      </c>
      <c r="DC20" s="323">
        <v>0</v>
      </c>
      <c r="DD20" s="323">
        <v>0</v>
      </c>
      <c r="DE20" s="323">
        <v>0</v>
      </c>
      <c r="DF20" s="323">
        <v>0</v>
      </c>
      <c r="DG20" s="323">
        <v>0</v>
      </c>
      <c r="DH20" s="323">
        <v>0</v>
      </c>
      <c r="DI20" s="323">
        <v>0</v>
      </c>
      <c r="DJ20" s="337">
        <v>0</v>
      </c>
      <c r="DK20" s="644">
        <v>69350.3</v>
      </c>
      <c r="DL20" s="614">
        <v>63033</v>
      </c>
      <c r="DM20" s="614">
        <v>15616</v>
      </c>
      <c r="DN20" s="614">
        <v>11250</v>
      </c>
      <c r="DO20" s="614">
        <v>7615</v>
      </c>
      <c r="DP20" s="614">
        <v>3204</v>
      </c>
      <c r="DQ20" s="614">
        <v>1237</v>
      </c>
      <c r="DR20" s="614">
        <v>569</v>
      </c>
      <c r="DS20" s="615">
        <v>34</v>
      </c>
      <c r="DT20" s="607">
        <f t="shared" si="0"/>
        <v>102558</v>
      </c>
      <c r="DU20" s="342"/>
      <c r="DV20" s="289"/>
      <c r="DW20" s="291" t="s">
        <v>956</v>
      </c>
      <c r="DX20" s="291">
        <v>2</v>
      </c>
      <c r="DY20" s="291"/>
      <c r="DZ20" s="301"/>
      <c r="EA20" s="292"/>
      <c r="EB20" s="123"/>
      <c r="EC20" s="646"/>
      <c r="ED20" s="123"/>
      <c r="EE20" s="123"/>
      <c r="EF20" s="123"/>
      <c r="EG20" s="124"/>
    </row>
    <row r="21" spans="1:137" ht="15">
      <c r="A21" s="22">
        <v>13</v>
      </c>
      <c r="B21" s="23" t="s">
        <v>146</v>
      </c>
      <c r="C21" s="24" t="s">
        <v>147</v>
      </c>
      <c r="D21" s="613"/>
      <c r="E21" s="628">
        <v>19615</v>
      </c>
      <c r="F21" s="628">
        <v>5464</v>
      </c>
      <c r="G21" s="628">
        <v>4488</v>
      </c>
      <c r="H21" s="628">
        <v>2200</v>
      </c>
      <c r="I21" s="628">
        <v>897</v>
      </c>
      <c r="J21" s="628">
        <v>236</v>
      </c>
      <c r="K21" s="628">
        <v>69</v>
      </c>
      <c r="L21" s="628">
        <v>9</v>
      </c>
      <c r="M21" s="627">
        <v>32978</v>
      </c>
      <c r="N21" s="322"/>
      <c r="O21" s="323">
        <v>793</v>
      </c>
      <c r="P21" s="323">
        <v>113</v>
      </c>
      <c r="Q21" s="323">
        <v>68</v>
      </c>
      <c r="R21" s="323">
        <v>41</v>
      </c>
      <c r="S21" s="323">
        <v>14</v>
      </c>
      <c r="T21" s="323">
        <v>1</v>
      </c>
      <c r="U21" s="323">
        <v>3</v>
      </c>
      <c r="V21" s="323">
        <v>0</v>
      </c>
      <c r="W21" s="323">
        <v>1033</v>
      </c>
      <c r="X21" s="329" t="s">
        <v>934</v>
      </c>
      <c r="Y21" s="330">
        <v>0</v>
      </c>
      <c r="Z21" s="330">
        <v>0</v>
      </c>
      <c r="AA21" s="330">
        <v>0</v>
      </c>
      <c r="AB21" s="330">
        <v>0</v>
      </c>
      <c r="AC21" s="330">
        <v>0</v>
      </c>
      <c r="AD21" s="330">
        <v>0</v>
      </c>
      <c r="AE21" s="330">
        <v>0</v>
      </c>
      <c r="AF21" s="330">
        <v>0</v>
      </c>
      <c r="AG21" s="328">
        <v>0</v>
      </c>
      <c r="AH21" s="329" t="s">
        <v>934</v>
      </c>
      <c r="AI21" s="184">
        <v>56</v>
      </c>
      <c r="AJ21" s="184">
        <v>41</v>
      </c>
      <c r="AK21" s="184">
        <v>40</v>
      </c>
      <c r="AL21" s="184">
        <v>27</v>
      </c>
      <c r="AM21" s="184">
        <v>13</v>
      </c>
      <c r="AN21" s="184">
        <v>10</v>
      </c>
      <c r="AO21" s="184">
        <v>3</v>
      </c>
      <c r="AP21" s="184">
        <v>6</v>
      </c>
      <c r="AQ21" s="336">
        <v>196</v>
      </c>
      <c r="AR21" s="323">
        <v>18</v>
      </c>
      <c r="AS21" s="323">
        <v>8829</v>
      </c>
      <c r="AT21" s="323">
        <v>1561</v>
      </c>
      <c r="AU21" s="323">
        <v>1011</v>
      </c>
      <c r="AV21" s="323">
        <v>426</v>
      </c>
      <c r="AW21" s="323">
        <v>121</v>
      </c>
      <c r="AX21" s="323">
        <v>28</v>
      </c>
      <c r="AY21" s="323">
        <v>5</v>
      </c>
      <c r="AZ21" s="323">
        <v>0</v>
      </c>
      <c r="BA21" s="323">
        <v>11999</v>
      </c>
      <c r="BB21" s="331">
        <v>0</v>
      </c>
      <c r="BC21" s="330">
        <v>120</v>
      </c>
      <c r="BD21" s="330">
        <v>49</v>
      </c>
      <c r="BE21" s="330">
        <v>44</v>
      </c>
      <c r="BF21" s="330">
        <v>16</v>
      </c>
      <c r="BG21" s="330">
        <v>10</v>
      </c>
      <c r="BH21" s="330">
        <v>1</v>
      </c>
      <c r="BI21" s="330">
        <v>0</v>
      </c>
      <c r="BJ21" s="330">
        <v>0</v>
      </c>
      <c r="BK21" s="328">
        <v>240</v>
      </c>
      <c r="BL21" s="323">
        <v>0</v>
      </c>
      <c r="BM21" s="323">
        <v>10</v>
      </c>
      <c r="BN21" s="323">
        <v>5</v>
      </c>
      <c r="BO21" s="323">
        <v>5</v>
      </c>
      <c r="BP21" s="323">
        <v>3</v>
      </c>
      <c r="BQ21" s="323">
        <v>6</v>
      </c>
      <c r="BR21" s="323">
        <v>3</v>
      </c>
      <c r="BS21" s="323">
        <v>7</v>
      </c>
      <c r="BT21" s="323">
        <v>3</v>
      </c>
      <c r="BU21" s="323">
        <v>42</v>
      </c>
      <c r="BV21" s="329" t="s">
        <v>934</v>
      </c>
      <c r="BW21" s="330">
        <v>201</v>
      </c>
      <c r="BX21" s="330">
        <v>43</v>
      </c>
      <c r="BY21" s="330">
        <v>28</v>
      </c>
      <c r="BZ21" s="330">
        <v>20</v>
      </c>
      <c r="CA21" s="330">
        <v>4</v>
      </c>
      <c r="CB21" s="330">
        <v>2</v>
      </c>
      <c r="CC21" s="330">
        <v>1</v>
      </c>
      <c r="CD21" s="330">
        <v>0</v>
      </c>
      <c r="CE21" s="328">
        <v>299</v>
      </c>
      <c r="CF21" s="322" t="s">
        <v>934</v>
      </c>
      <c r="CG21" s="323">
        <v>748</v>
      </c>
      <c r="CH21" s="323">
        <v>96</v>
      </c>
      <c r="CI21" s="323">
        <v>28</v>
      </c>
      <c r="CJ21" s="323">
        <v>11</v>
      </c>
      <c r="CK21" s="323">
        <v>10</v>
      </c>
      <c r="CL21" s="323">
        <v>5</v>
      </c>
      <c r="CM21" s="323">
        <v>2</v>
      </c>
      <c r="CN21" s="323">
        <v>0</v>
      </c>
      <c r="CO21" s="323">
        <v>900</v>
      </c>
      <c r="CP21" s="329" t="s">
        <v>934</v>
      </c>
      <c r="CQ21" s="330">
        <v>0</v>
      </c>
      <c r="CR21" s="330">
        <v>0</v>
      </c>
      <c r="CS21" s="330">
        <v>0</v>
      </c>
      <c r="CT21" s="330">
        <v>0</v>
      </c>
      <c r="CU21" s="330">
        <v>0</v>
      </c>
      <c r="CV21" s="330">
        <v>0</v>
      </c>
      <c r="CW21" s="330">
        <v>0</v>
      </c>
      <c r="CX21" s="330">
        <v>0</v>
      </c>
      <c r="CY21" s="328">
        <v>0</v>
      </c>
      <c r="CZ21" s="322" t="s">
        <v>934</v>
      </c>
      <c r="DA21" s="323">
        <v>0</v>
      </c>
      <c r="DB21" s="323">
        <v>0</v>
      </c>
      <c r="DC21" s="323">
        <v>0</v>
      </c>
      <c r="DD21" s="323">
        <v>0</v>
      </c>
      <c r="DE21" s="323">
        <v>0</v>
      </c>
      <c r="DF21" s="323">
        <v>0</v>
      </c>
      <c r="DG21" s="323">
        <v>0</v>
      </c>
      <c r="DH21" s="323">
        <v>0</v>
      </c>
      <c r="DI21" s="323">
        <v>0</v>
      </c>
      <c r="DJ21" s="337">
        <v>0</v>
      </c>
      <c r="DK21" s="644">
        <v>21663.3</v>
      </c>
      <c r="DL21" s="614">
        <v>19636</v>
      </c>
      <c r="DM21" s="614">
        <v>5480</v>
      </c>
      <c r="DN21" s="614">
        <v>4517</v>
      </c>
      <c r="DO21" s="614">
        <v>2217</v>
      </c>
      <c r="DP21" s="614">
        <v>916</v>
      </c>
      <c r="DQ21" s="614">
        <v>234</v>
      </c>
      <c r="DR21" s="614">
        <v>69</v>
      </c>
      <c r="DS21" s="615">
        <v>9</v>
      </c>
      <c r="DT21" s="607">
        <f t="shared" si="0"/>
        <v>33078</v>
      </c>
      <c r="DU21" s="342"/>
      <c r="DV21" s="289"/>
      <c r="DW21" s="295"/>
      <c r="DX21" s="295"/>
      <c r="DY21" s="295"/>
      <c r="DZ21" s="301"/>
      <c r="EA21" s="292"/>
      <c r="EB21" s="123"/>
      <c r="EC21" s="646"/>
      <c r="ED21" s="123"/>
      <c r="EE21" s="123"/>
      <c r="EF21" s="123"/>
      <c r="EG21" s="124"/>
    </row>
    <row r="22" spans="1:137" ht="15.75">
      <c r="A22" s="22">
        <v>14</v>
      </c>
      <c r="B22" s="23" t="s">
        <v>148</v>
      </c>
      <c r="C22" s="24" t="s">
        <v>149</v>
      </c>
      <c r="D22" s="613"/>
      <c r="E22" s="628">
        <v>8927</v>
      </c>
      <c r="F22" s="628">
        <v>14871</v>
      </c>
      <c r="G22" s="628">
        <v>22420</v>
      </c>
      <c r="H22" s="628">
        <v>13547</v>
      </c>
      <c r="I22" s="628">
        <v>6985</v>
      </c>
      <c r="J22" s="628">
        <v>4343</v>
      </c>
      <c r="K22" s="628">
        <v>1801</v>
      </c>
      <c r="L22" s="628">
        <v>118</v>
      </c>
      <c r="M22" s="627">
        <v>73012</v>
      </c>
      <c r="N22" s="322"/>
      <c r="O22" s="323">
        <v>351</v>
      </c>
      <c r="P22" s="323">
        <v>378</v>
      </c>
      <c r="Q22" s="323">
        <v>390</v>
      </c>
      <c r="R22" s="323">
        <v>174</v>
      </c>
      <c r="S22" s="323">
        <v>70</v>
      </c>
      <c r="T22" s="323">
        <v>37</v>
      </c>
      <c r="U22" s="323">
        <v>12</v>
      </c>
      <c r="V22" s="323">
        <v>3</v>
      </c>
      <c r="W22" s="323">
        <v>1415</v>
      </c>
      <c r="X22" s="329" t="s">
        <v>934</v>
      </c>
      <c r="Y22" s="330">
        <v>0</v>
      </c>
      <c r="Z22" s="330">
        <v>0</v>
      </c>
      <c r="AA22" s="330">
        <v>0</v>
      </c>
      <c r="AB22" s="330">
        <v>0</v>
      </c>
      <c r="AC22" s="330">
        <v>0</v>
      </c>
      <c r="AD22" s="330">
        <v>0</v>
      </c>
      <c r="AE22" s="330">
        <v>0</v>
      </c>
      <c r="AF22" s="330">
        <v>0</v>
      </c>
      <c r="AG22" s="328">
        <v>0</v>
      </c>
      <c r="AH22" s="329" t="s">
        <v>934</v>
      </c>
      <c r="AI22" s="184">
        <v>12</v>
      </c>
      <c r="AJ22" s="184">
        <v>38</v>
      </c>
      <c r="AK22" s="184">
        <v>84</v>
      </c>
      <c r="AL22" s="184">
        <v>56</v>
      </c>
      <c r="AM22" s="184">
        <v>44</v>
      </c>
      <c r="AN22" s="184">
        <v>28</v>
      </c>
      <c r="AO22" s="184">
        <v>20</v>
      </c>
      <c r="AP22" s="184">
        <v>6</v>
      </c>
      <c r="AQ22" s="336">
        <v>288</v>
      </c>
      <c r="AR22" s="323">
        <v>5</v>
      </c>
      <c r="AS22" s="323">
        <v>5052</v>
      </c>
      <c r="AT22" s="323">
        <v>5737</v>
      </c>
      <c r="AU22" s="323">
        <v>6963</v>
      </c>
      <c r="AV22" s="323">
        <v>3065</v>
      </c>
      <c r="AW22" s="323">
        <v>1112</v>
      </c>
      <c r="AX22" s="323">
        <v>442</v>
      </c>
      <c r="AY22" s="323">
        <v>122</v>
      </c>
      <c r="AZ22" s="323">
        <v>6</v>
      </c>
      <c r="BA22" s="323">
        <v>22504</v>
      </c>
      <c r="BB22" s="331">
        <v>0</v>
      </c>
      <c r="BC22" s="330">
        <v>21</v>
      </c>
      <c r="BD22" s="330">
        <v>83</v>
      </c>
      <c r="BE22" s="330">
        <v>146</v>
      </c>
      <c r="BF22" s="330">
        <v>97</v>
      </c>
      <c r="BG22" s="330">
        <v>27</v>
      </c>
      <c r="BH22" s="330">
        <v>20</v>
      </c>
      <c r="BI22" s="330">
        <v>8</v>
      </c>
      <c r="BJ22" s="330">
        <v>1</v>
      </c>
      <c r="BK22" s="328">
        <v>403</v>
      </c>
      <c r="BL22" s="323">
        <v>0</v>
      </c>
      <c r="BM22" s="323">
        <v>0</v>
      </c>
      <c r="BN22" s="323">
        <v>2</v>
      </c>
      <c r="BO22" s="323">
        <v>11</v>
      </c>
      <c r="BP22" s="323">
        <v>9</v>
      </c>
      <c r="BQ22" s="323">
        <v>9</v>
      </c>
      <c r="BR22" s="323">
        <v>12</v>
      </c>
      <c r="BS22" s="323">
        <v>13</v>
      </c>
      <c r="BT22" s="323">
        <v>5</v>
      </c>
      <c r="BU22" s="323">
        <v>61</v>
      </c>
      <c r="BV22" s="329" t="s">
        <v>934</v>
      </c>
      <c r="BW22" s="330">
        <v>43</v>
      </c>
      <c r="BX22" s="330">
        <v>59</v>
      </c>
      <c r="BY22" s="330">
        <v>58</v>
      </c>
      <c r="BZ22" s="330">
        <v>24</v>
      </c>
      <c r="CA22" s="330">
        <v>22</v>
      </c>
      <c r="CB22" s="330">
        <v>9</v>
      </c>
      <c r="CC22" s="330">
        <v>6</v>
      </c>
      <c r="CD22" s="330">
        <v>1</v>
      </c>
      <c r="CE22" s="328">
        <v>222</v>
      </c>
      <c r="CF22" s="322" t="s">
        <v>934</v>
      </c>
      <c r="CG22" s="323">
        <v>149</v>
      </c>
      <c r="CH22" s="323">
        <v>117</v>
      </c>
      <c r="CI22" s="323">
        <v>148</v>
      </c>
      <c r="CJ22" s="323">
        <v>51</v>
      </c>
      <c r="CK22" s="323">
        <v>34</v>
      </c>
      <c r="CL22" s="323">
        <v>26</v>
      </c>
      <c r="CM22" s="323">
        <v>16</v>
      </c>
      <c r="CN22" s="323">
        <v>4</v>
      </c>
      <c r="CO22" s="323">
        <v>545</v>
      </c>
      <c r="CP22" s="329" t="s">
        <v>934</v>
      </c>
      <c r="CQ22" s="330">
        <v>0</v>
      </c>
      <c r="CR22" s="330">
        <v>0</v>
      </c>
      <c r="CS22" s="330">
        <v>0</v>
      </c>
      <c r="CT22" s="330">
        <v>0</v>
      </c>
      <c r="CU22" s="330">
        <v>0</v>
      </c>
      <c r="CV22" s="330">
        <v>0</v>
      </c>
      <c r="CW22" s="330">
        <v>0</v>
      </c>
      <c r="CX22" s="330">
        <v>0</v>
      </c>
      <c r="CY22" s="328">
        <v>0</v>
      </c>
      <c r="CZ22" s="322" t="s">
        <v>934</v>
      </c>
      <c r="DA22" s="323">
        <v>0</v>
      </c>
      <c r="DB22" s="323">
        <v>0</v>
      </c>
      <c r="DC22" s="323">
        <v>0</v>
      </c>
      <c r="DD22" s="323">
        <v>0</v>
      </c>
      <c r="DE22" s="323">
        <v>0</v>
      </c>
      <c r="DF22" s="323">
        <v>0</v>
      </c>
      <c r="DG22" s="323">
        <v>0</v>
      </c>
      <c r="DH22" s="323">
        <v>0</v>
      </c>
      <c r="DI22" s="323">
        <v>0</v>
      </c>
      <c r="DJ22" s="337">
        <v>0</v>
      </c>
      <c r="DK22" s="644">
        <v>62479.3</v>
      </c>
      <c r="DL22" s="614">
        <v>8935</v>
      </c>
      <c r="DM22" s="614">
        <v>14894</v>
      </c>
      <c r="DN22" s="614">
        <v>22525</v>
      </c>
      <c r="DO22" s="614">
        <v>13610</v>
      </c>
      <c r="DP22" s="614">
        <v>7041</v>
      </c>
      <c r="DQ22" s="614">
        <v>4333</v>
      </c>
      <c r="DR22" s="614">
        <v>1830</v>
      </c>
      <c r="DS22" s="615">
        <v>125</v>
      </c>
      <c r="DT22" s="607">
        <f t="shared" si="0"/>
        <v>73293</v>
      </c>
      <c r="DU22" s="342"/>
      <c r="DV22" s="289"/>
      <c r="DW22" s="290" t="s">
        <v>959</v>
      </c>
      <c r="DX22" s="291"/>
      <c r="DY22" s="291"/>
      <c r="DZ22" s="301"/>
      <c r="EA22" s="292"/>
      <c r="EB22" s="123"/>
      <c r="EC22" s="646"/>
      <c r="ED22" s="123"/>
      <c r="EE22" s="123"/>
      <c r="EF22" s="123"/>
      <c r="EG22" s="124"/>
    </row>
    <row r="23" spans="1:137" ht="15">
      <c r="A23" s="22">
        <v>15</v>
      </c>
      <c r="B23" s="23" t="s">
        <v>856</v>
      </c>
      <c r="C23" s="24" t="s">
        <v>150</v>
      </c>
      <c r="D23" s="613"/>
      <c r="E23" s="628">
        <v>2092</v>
      </c>
      <c r="F23" s="628">
        <v>10610</v>
      </c>
      <c r="G23" s="628">
        <v>22902</v>
      </c>
      <c r="H23" s="628">
        <v>11582</v>
      </c>
      <c r="I23" s="628">
        <v>9594</v>
      </c>
      <c r="J23" s="628">
        <v>5756</v>
      </c>
      <c r="K23" s="628">
        <v>2946</v>
      </c>
      <c r="L23" s="628">
        <v>351</v>
      </c>
      <c r="M23" s="627">
        <v>65833</v>
      </c>
      <c r="N23" s="322"/>
      <c r="O23" s="323">
        <v>127</v>
      </c>
      <c r="P23" s="323">
        <v>331</v>
      </c>
      <c r="Q23" s="323">
        <v>385</v>
      </c>
      <c r="R23" s="323">
        <v>179</v>
      </c>
      <c r="S23" s="323">
        <v>109</v>
      </c>
      <c r="T23" s="323">
        <v>62</v>
      </c>
      <c r="U23" s="323">
        <v>41</v>
      </c>
      <c r="V23" s="323">
        <v>6</v>
      </c>
      <c r="W23" s="323">
        <v>1240</v>
      </c>
      <c r="X23" s="329" t="s">
        <v>934</v>
      </c>
      <c r="Y23" s="330">
        <v>0</v>
      </c>
      <c r="Z23" s="330">
        <v>0</v>
      </c>
      <c r="AA23" s="330">
        <v>0</v>
      </c>
      <c r="AB23" s="330">
        <v>0</v>
      </c>
      <c r="AC23" s="330">
        <v>0</v>
      </c>
      <c r="AD23" s="330">
        <v>0</v>
      </c>
      <c r="AE23" s="330">
        <v>0</v>
      </c>
      <c r="AF23" s="330">
        <v>0</v>
      </c>
      <c r="AG23" s="328">
        <v>0</v>
      </c>
      <c r="AH23" s="329" t="s">
        <v>934</v>
      </c>
      <c r="AI23" s="184">
        <v>14</v>
      </c>
      <c r="AJ23" s="184">
        <v>52</v>
      </c>
      <c r="AK23" s="184">
        <v>129</v>
      </c>
      <c r="AL23" s="184">
        <v>77</v>
      </c>
      <c r="AM23" s="184">
        <v>57</v>
      </c>
      <c r="AN23" s="184">
        <v>57</v>
      </c>
      <c r="AO23" s="184">
        <v>26</v>
      </c>
      <c r="AP23" s="184">
        <v>2</v>
      </c>
      <c r="AQ23" s="336">
        <v>414</v>
      </c>
      <c r="AR23" s="323">
        <v>3</v>
      </c>
      <c r="AS23" s="323">
        <v>1232</v>
      </c>
      <c r="AT23" s="323">
        <v>5260</v>
      </c>
      <c r="AU23" s="323">
        <v>6856</v>
      </c>
      <c r="AV23" s="323">
        <v>2637</v>
      </c>
      <c r="AW23" s="323">
        <v>1495</v>
      </c>
      <c r="AX23" s="323">
        <v>666</v>
      </c>
      <c r="AY23" s="323">
        <v>270</v>
      </c>
      <c r="AZ23" s="323">
        <v>25</v>
      </c>
      <c r="BA23" s="323">
        <v>18444</v>
      </c>
      <c r="BB23" s="331">
        <v>0</v>
      </c>
      <c r="BC23" s="330">
        <v>2</v>
      </c>
      <c r="BD23" s="330">
        <v>54</v>
      </c>
      <c r="BE23" s="330">
        <v>153</v>
      </c>
      <c r="BF23" s="330">
        <v>76</v>
      </c>
      <c r="BG23" s="330">
        <v>55</v>
      </c>
      <c r="BH23" s="330">
        <v>38</v>
      </c>
      <c r="BI23" s="330">
        <v>14</v>
      </c>
      <c r="BJ23" s="330">
        <v>0</v>
      </c>
      <c r="BK23" s="328">
        <v>392</v>
      </c>
      <c r="BL23" s="323">
        <v>2</v>
      </c>
      <c r="BM23" s="323">
        <v>2</v>
      </c>
      <c r="BN23" s="323">
        <v>16</v>
      </c>
      <c r="BO23" s="323">
        <v>25</v>
      </c>
      <c r="BP23" s="323">
        <v>10</v>
      </c>
      <c r="BQ23" s="323">
        <v>13</v>
      </c>
      <c r="BR23" s="323">
        <v>11</v>
      </c>
      <c r="BS23" s="323">
        <v>18</v>
      </c>
      <c r="BT23" s="323">
        <v>11</v>
      </c>
      <c r="BU23" s="323">
        <v>108</v>
      </c>
      <c r="BV23" s="329" t="s">
        <v>934</v>
      </c>
      <c r="BW23" s="330">
        <v>22</v>
      </c>
      <c r="BX23" s="330">
        <v>43</v>
      </c>
      <c r="BY23" s="330">
        <v>55</v>
      </c>
      <c r="BZ23" s="330">
        <v>43</v>
      </c>
      <c r="CA23" s="330">
        <v>41</v>
      </c>
      <c r="CB23" s="330">
        <v>29</v>
      </c>
      <c r="CC23" s="330">
        <v>49</v>
      </c>
      <c r="CD23" s="330">
        <v>27</v>
      </c>
      <c r="CE23" s="328">
        <v>309</v>
      </c>
      <c r="CF23" s="322" t="s">
        <v>934</v>
      </c>
      <c r="CG23" s="323">
        <v>55</v>
      </c>
      <c r="CH23" s="323">
        <v>110</v>
      </c>
      <c r="CI23" s="323">
        <v>181</v>
      </c>
      <c r="CJ23" s="323">
        <v>77</v>
      </c>
      <c r="CK23" s="323">
        <v>55</v>
      </c>
      <c r="CL23" s="323">
        <v>32</v>
      </c>
      <c r="CM23" s="323">
        <v>25</v>
      </c>
      <c r="CN23" s="323">
        <v>9</v>
      </c>
      <c r="CO23" s="323">
        <v>544</v>
      </c>
      <c r="CP23" s="329" t="s">
        <v>934</v>
      </c>
      <c r="CQ23" s="330">
        <v>0</v>
      </c>
      <c r="CR23" s="330">
        <v>0</v>
      </c>
      <c r="CS23" s="330">
        <v>0</v>
      </c>
      <c r="CT23" s="330">
        <v>0</v>
      </c>
      <c r="CU23" s="330">
        <v>0</v>
      </c>
      <c r="CV23" s="330">
        <v>0</v>
      </c>
      <c r="CW23" s="330">
        <v>0</v>
      </c>
      <c r="CX23" s="330">
        <v>0</v>
      </c>
      <c r="CY23" s="328">
        <v>0</v>
      </c>
      <c r="CZ23" s="322" t="s">
        <v>934</v>
      </c>
      <c r="DA23" s="323">
        <v>0</v>
      </c>
      <c r="DB23" s="323">
        <v>0</v>
      </c>
      <c r="DC23" s="323">
        <v>0</v>
      </c>
      <c r="DD23" s="323">
        <v>0</v>
      </c>
      <c r="DE23" s="323">
        <v>0</v>
      </c>
      <c r="DF23" s="323">
        <v>0</v>
      </c>
      <c r="DG23" s="323">
        <v>0</v>
      </c>
      <c r="DH23" s="323">
        <v>0</v>
      </c>
      <c r="DI23" s="323">
        <v>0</v>
      </c>
      <c r="DJ23" s="337">
        <v>0</v>
      </c>
      <c r="DK23" s="644">
        <v>61160.4</v>
      </c>
      <c r="DL23" s="614">
        <v>2116</v>
      </c>
      <c r="DM23" s="614">
        <v>10716</v>
      </c>
      <c r="DN23" s="614">
        <v>23117</v>
      </c>
      <c r="DO23" s="614">
        <v>11834</v>
      </c>
      <c r="DP23" s="614">
        <v>9657</v>
      </c>
      <c r="DQ23" s="614">
        <v>5791</v>
      </c>
      <c r="DR23" s="614">
        <v>2948</v>
      </c>
      <c r="DS23" s="615">
        <v>357</v>
      </c>
      <c r="DT23" s="607">
        <f t="shared" si="0"/>
        <v>66536</v>
      </c>
      <c r="DU23" s="342"/>
      <c r="DV23" s="289"/>
      <c r="DW23" s="291" t="s">
        <v>955</v>
      </c>
      <c r="DX23" s="293">
        <v>1</v>
      </c>
      <c r="DY23" s="293"/>
      <c r="DZ23" s="302">
        <f>IF('CTB Supplementary Form'!F132="yes",1,2)</f>
        <v>1</v>
      </c>
      <c r="EA23" s="292"/>
      <c r="EB23" s="123"/>
      <c r="EC23" s="646"/>
      <c r="ED23" s="123"/>
      <c r="EE23" s="123"/>
      <c r="EF23" s="123"/>
      <c r="EG23" s="124"/>
    </row>
    <row r="24" spans="1:137" ht="15">
      <c r="A24" s="22">
        <v>16</v>
      </c>
      <c r="B24" s="23" t="s">
        <v>151</v>
      </c>
      <c r="C24" s="24" t="s">
        <v>152</v>
      </c>
      <c r="D24" s="613"/>
      <c r="E24" s="630">
        <v>25358</v>
      </c>
      <c r="F24" s="630">
        <v>7145</v>
      </c>
      <c r="G24" s="630">
        <v>5827</v>
      </c>
      <c r="H24" s="630">
        <v>5523</v>
      </c>
      <c r="I24" s="630">
        <v>2683</v>
      </c>
      <c r="J24" s="630">
        <v>1284</v>
      </c>
      <c r="K24" s="630">
        <v>634</v>
      </c>
      <c r="L24" s="630">
        <v>57</v>
      </c>
      <c r="M24" s="627">
        <v>48511</v>
      </c>
      <c r="N24" s="322"/>
      <c r="O24" s="323">
        <v>917</v>
      </c>
      <c r="P24" s="323">
        <v>157</v>
      </c>
      <c r="Q24" s="323">
        <v>147</v>
      </c>
      <c r="R24" s="323">
        <v>98</v>
      </c>
      <c r="S24" s="323">
        <v>51</v>
      </c>
      <c r="T24" s="323">
        <v>19</v>
      </c>
      <c r="U24" s="323">
        <v>16</v>
      </c>
      <c r="V24" s="323">
        <v>2</v>
      </c>
      <c r="W24" s="323">
        <v>1407</v>
      </c>
      <c r="X24" s="329" t="s">
        <v>934</v>
      </c>
      <c r="Y24" s="330">
        <v>0</v>
      </c>
      <c r="Z24" s="330">
        <v>0</v>
      </c>
      <c r="AA24" s="330">
        <v>0</v>
      </c>
      <c r="AB24" s="330">
        <v>0</v>
      </c>
      <c r="AC24" s="330">
        <v>0</v>
      </c>
      <c r="AD24" s="330">
        <v>0</v>
      </c>
      <c r="AE24" s="330">
        <v>0</v>
      </c>
      <c r="AF24" s="330">
        <v>0</v>
      </c>
      <c r="AG24" s="328">
        <v>0</v>
      </c>
      <c r="AH24" s="329" t="s">
        <v>934</v>
      </c>
      <c r="AI24" s="184">
        <v>119</v>
      </c>
      <c r="AJ24" s="184">
        <v>51</v>
      </c>
      <c r="AK24" s="184">
        <v>49</v>
      </c>
      <c r="AL24" s="184">
        <v>48</v>
      </c>
      <c r="AM24" s="184">
        <v>21</v>
      </c>
      <c r="AN24" s="184">
        <v>16</v>
      </c>
      <c r="AO24" s="184">
        <v>14</v>
      </c>
      <c r="AP24" s="184">
        <v>9</v>
      </c>
      <c r="AQ24" s="336">
        <v>327</v>
      </c>
      <c r="AR24" s="323">
        <v>19</v>
      </c>
      <c r="AS24" s="323">
        <v>10043</v>
      </c>
      <c r="AT24" s="323">
        <v>1930</v>
      </c>
      <c r="AU24" s="323">
        <v>1355</v>
      </c>
      <c r="AV24" s="323">
        <v>1014</v>
      </c>
      <c r="AW24" s="323">
        <v>369</v>
      </c>
      <c r="AX24" s="323">
        <v>168</v>
      </c>
      <c r="AY24" s="323">
        <v>70</v>
      </c>
      <c r="AZ24" s="323">
        <v>7</v>
      </c>
      <c r="BA24" s="323">
        <v>14975</v>
      </c>
      <c r="BB24" s="331">
        <v>4</v>
      </c>
      <c r="BC24" s="330">
        <v>169</v>
      </c>
      <c r="BD24" s="330">
        <v>64</v>
      </c>
      <c r="BE24" s="330">
        <v>43</v>
      </c>
      <c r="BF24" s="330">
        <v>50</v>
      </c>
      <c r="BG24" s="330">
        <v>17</v>
      </c>
      <c r="BH24" s="330">
        <v>3</v>
      </c>
      <c r="BI24" s="330">
        <v>2</v>
      </c>
      <c r="BJ24" s="330">
        <v>0</v>
      </c>
      <c r="BK24" s="328">
        <v>352</v>
      </c>
      <c r="BL24" s="323">
        <v>1</v>
      </c>
      <c r="BM24" s="323">
        <v>10</v>
      </c>
      <c r="BN24" s="323">
        <v>3</v>
      </c>
      <c r="BO24" s="323">
        <v>7</v>
      </c>
      <c r="BP24" s="323">
        <v>5</v>
      </c>
      <c r="BQ24" s="323">
        <v>2</v>
      </c>
      <c r="BR24" s="323">
        <v>14</v>
      </c>
      <c r="BS24" s="323">
        <v>16</v>
      </c>
      <c r="BT24" s="323">
        <v>3</v>
      </c>
      <c r="BU24" s="323">
        <v>61</v>
      </c>
      <c r="BV24" s="329" t="s">
        <v>934</v>
      </c>
      <c r="BW24" s="330">
        <v>44</v>
      </c>
      <c r="BX24" s="330">
        <v>19</v>
      </c>
      <c r="BY24" s="330">
        <v>12</v>
      </c>
      <c r="BZ24" s="330">
        <v>15</v>
      </c>
      <c r="CA24" s="330">
        <v>10</v>
      </c>
      <c r="CB24" s="330">
        <v>4</v>
      </c>
      <c r="CC24" s="330">
        <v>2</v>
      </c>
      <c r="CD24" s="330">
        <v>0</v>
      </c>
      <c r="CE24" s="328">
        <v>106</v>
      </c>
      <c r="CF24" s="322" t="s">
        <v>934</v>
      </c>
      <c r="CG24" s="323">
        <v>0</v>
      </c>
      <c r="CH24" s="323">
        <v>0</v>
      </c>
      <c r="CI24" s="323">
        <v>0</v>
      </c>
      <c r="CJ24" s="323">
        <v>0</v>
      </c>
      <c r="CK24" s="323">
        <v>0</v>
      </c>
      <c r="CL24" s="323">
        <v>0</v>
      </c>
      <c r="CM24" s="323">
        <v>0</v>
      </c>
      <c r="CN24" s="323">
        <v>0</v>
      </c>
      <c r="CO24" s="323">
        <v>0</v>
      </c>
      <c r="CP24" s="329" t="s">
        <v>934</v>
      </c>
      <c r="CQ24" s="330">
        <v>509</v>
      </c>
      <c r="CR24" s="330">
        <v>137</v>
      </c>
      <c r="CS24" s="330">
        <v>82</v>
      </c>
      <c r="CT24" s="330">
        <v>42</v>
      </c>
      <c r="CU24" s="330">
        <v>44</v>
      </c>
      <c r="CV24" s="330">
        <v>18</v>
      </c>
      <c r="CW24" s="330">
        <v>18</v>
      </c>
      <c r="CX24" s="330">
        <v>1</v>
      </c>
      <c r="CY24" s="328">
        <v>851</v>
      </c>
      <c r="CZ24" s="322" t="s">
        <v>934</v>
      </c>
      <c r="DA24" s="323">
        <v>0</v>
      </c>
      <c r="DB24" s="323">
        <v>0</v>
      </c>
      <c r="DC24" s="323">
        <v>0</v>
      </c>
      <c r="DD24" s="323">
        <v>0</v>
      </c>
      <c r="DE24" s="323">
        <v>0</v>
      </c>
      <c r="DF24" s="323">
        <v>0</v>
      </c>
      <c r="DG24" s="323">
        <v>0</v>
      </c>
      <c r="DH24" s="323">
        <v>0</v>
      </c>
      <c r="DI24" s="323">
        <v>0</v>
      </c>
      <c r="DJ24" s="337">
        <v>0</v>
      </c>
      <c r="DK24" s="644">
        <v>35376.8</v>
      </c>
      <c r="DL24" s="614">
        <v>25621</v>
      </c>
      <c r="DM24" s="614">
        <v>7276</v>
      </c>
      <c r="DN24" s="614">
        <v>5924</v>
      </c>
      <c r="DO24" s="614">
        <v>5579</v>
      </c>
      <c r="DP24" s="614">
        <v>2770</v>
      </c>
      <c r="DQ24" s="614">
        <v>1293</v>
      </c>
      <c r="DR24" s="614">
        <v>654</v>
      </c>
      <c r="DS24" s="615">
        <v>57</v>
      </c>
      <c r="DT24" s="607">
        <f t="shared" si="0"/>
        <v>49174</v>
      </c>
      <c r="DU24" s="342"/>
      <c r="DV24" s="289"/>
      <c r="DW24" s="291" t="s">
        <v>956</v>
      </c>
      <c r="DX24" s="291">
        <v>2</v>
      </c>
      <c r="DY24" s="291"/>
      <c r="DZ24" s="304"/>
      <c r="EA24" s="296"/>
      <c r="EB24" s="127"/>
      <c r="EC24" s="646"/>
      <c r="ED24" s="127"/>
      <c r="EE24" s="127"/>
      <c r="EF24" s="127"/>
      <c r="EG24" s="124"/>
    </row>
    <row r="25" spans="1:137" ht="15">
      <c r="A25" s="22">
        <v>17</v>
      </c>
      <c r="B25" s="23" t="s">
        <v>153</v>
      </c>
      <c r="C25" s="24" t="s">
        <v>154</v>
      </c>
      <c r="D25" s="613"/>
      <c r="E25" s="626">
        <v>7194</v>
      </c>
      <c r="F25" s="626">
        <v>17420</v>
      </c>
      <c r="G25" s="626">
        <v>18776</v>
      </c>
      <c r="H25" s="626">
        <v>12870</v>
      </c>
      <c r="I25" s="626">
        <v>8690</v>
      </c>
      <c r="J25" s="626">
        <v>4974</v>
      </c>
      <c r="K25" s="626">
        <v>4327</v>
      </c>
      <c r="L25" s="626">
        <v>364</v>
      </c>
      <c r="M25" s="631">
        <v>74615</v>
      </c>
      <c r="N25" s="322"/>
      <c r="O25" s="323">
        <v>584</v>
      </c>
      <c r="P25" s="323">
        <v>698</v>
      </c>
      <c r="Q25" s="323">
        <v>795</v>
      </c>
      <c r="R25" s="323">
        <v>443</v>
      </c>
      <c r="S25" s="323">
        <v>339</v>
      </c>
      <c r="T25" s="323">
        <v>217</v>
      </c>
      <c r="U25" s="323">
        <v>113</v>
      </c>
      <c r="V25" s="323">
        <v>40</v>
      </c>
      <c r="W25" s="323">
        <v>3229</v>
      </c>
      <c r="X25" s="329" t="s">
        <v>934</v>
      </c>
      <c r="Y25" s="330">
        <v>0</v>
      </c>
      <c r="Z25" s="330">
        <v>0</v>
      </c>
      <c r="AA25" s="330">
        <v>0</v>
      </c>
      <c r="AB25" s="330">
        <v>0</v>
      </c>
      <c r="AC25" s="330">
        <v>0</v>
      </c>
      <c r="AD25" s="330">
        <v>0</v>
      </c>
      <c r="AE25" s="330">
        <v>0</v>
      </c>
      <c r="AF25" s="330">
        <v>0</v>
      </c>
      <c r="AG25" s="328">
        <v>0</v>
      </c>
      <c r="AH25" s="329" t="s">
        <v>934</v>
      </c>
      <c r="AI25" s="184">
        <v>13</v>
      </c>
      <c r="AJ25" s="184">
        <v>61</v>
      </c>
      <c r="AK25" s="184">
        <v>49</v>
      </c>
      <c r="AL25" s="184">
        <v>59</v>
      </c>
      <c r="AM25" s="184">
        <v>49</v>
      </c>
      <c r="AN25" s="184">
        <v>43</v>
      </c>
      <c r="AO25" s="184">
        <v>45</v>
      </c>
      <c r="AP25" s="184">
        <v>18</v>
      </c>
      <c r="AQ25" s="336">
        <v>337</v>
      </c>
      <c r="AR25" s="323">
        <v>5</v>
      </c>
      <c r="AS25" s="323">
        <v>4249</v>
      </c>
      <c r="AT25" s="323">
        <v>7075</v>
      </c>
      <c r="AU25" s="323">
        <v>5830</v>
      </c>
      <c r="AV25" s="323">
        <v>3416</v>
      </c>
      <c r="AW25" s="323">
        <v>1832</v>
      </c>
      <c r="AX25" s="323">
        <v>916</v>
      </c>
      <c r="AY25" s="323">
        <v>561</v>
      </c>
      <c r="AZ25" s="323">
        <v>40</v>
      </c>
      <c r="BA25" s="323">
        <v>23924</v>
      </c>
      <c r="BB25" s="331">
        <v>2</v>
      </c>
      <c r="BC25" s="330">
        <v>53</v>
      </c>
      <c r="BD25" s="330">
        <v>129</v>
      </c>
      <c r="BE25" s="330">
        <v>121</v>
      </c>
      <c r="BF25" s="330">
        <v>95</v>
      </c>
      <c r="BG25" s="330">
        <v>46</v>
      </c>
      <c r="BH25" s="330">
        <v>23</v>
      </c>
      <c r="BI25" s="330">
        <v>15</v>
      </c>
      <c r="BJ25" s="330">
        <v>0</v>
      </c>
      <c r="BK25" s="328">
        <v>484</v>
      </c>
      <c r="BL25" s="323">
        <v>0</v>
      </c>
      <c r="BM25" s="323">
        <v>10</v>
      </c>
      <c r="BN25" s="323">
        <v>8</v>
      </c>
      <c r="BO25" s="323">
        <v>8</v>
      </c>
      <c r="BP25" s="323">
        <v>11</v>
      </c>
      <c r="BQ25" s="323">
        <v>11</v>
      </c>
      <c r="BR25" s="323">
        <v>21</v>
      </c>
      <c r="BS25" s="323">
        <v>27</v>
      </c>
      <c r="BT25" s="323">
        <v>15</v>
      </c>
      <c r="BU25" s="323">
        <v>111</v>
      </c>
      <c r="BV25" s="329" t="s">
        <v>934</v>
      </c>
      <c r="BW25" s="330">
        <v>58</v>
      </c>
      <c r="BX25" s="330">
        <v>114</v>
      </c>
      <c r="BY25" s="330">
        <v>240</v>
      </c>
      <c r="BZ25" s="330">
        <v>129</v>
      </c>
      <c r="CA25" s="330">
        <v>97</v>
      </c>
      <c r="CB25" s="330">
        <v>55</v>
      </c>
      <c r="CC25" s="330">
        <v>57</v>
      </c>
      <c r="CD25" s="330">
        <v>14</v>
      </c>
      <c r="CE25" s="328">
        <v>764</v>
      </c>
      <c r="CF25" s="322" t="s">
        <v>934</v>
      </c>
      <c r="CG25" s="323">
        <v>0</v>
      </c>
      <c r="CH25" s="323">
        <v>0</v>
      </c>
      <c r="CI25" s="323">
        <v>0</v>
      </c>
      <c r="CJ25" s="323">
        <v>0</v>
      </c>
      <c r="CK25" s="323">
        <v>0</v>
      </c>
      <c r="CL25" s="323">
        <v>0</v>
      </c>
      <c r="CM25" s="323">
        <v>0</v>
      </c>
      <c r="CN25" s="323">
        <v>0</v>
      </c>
      <c r="CO25" s="323">
        <v>0</v>
      </c>
      <c r="CP25" s="329" t="s">
        <v>934</v>
      </c>
      <c r="CQ25" s="330">
        <v>66</v>
      </c>
      <c r="CR25" s="330">
        <v>94</v>
      </c>
      <c r="CS25" s="330">
        <v>103</v>
      </c>
      <c r="CT25" s="330">
        <v>77</v>
      </c>
      <c r="CU25" s="330">
        <v>30</v>
      </c>
      <c r="CV25" s="330">
        <v>25</v>
      </c>
      <c r="CW25" s="330">
        <v>33</v>
      </c>
      <c r="CX25" s="330">
        <v>7</v>
      </c>
      <c r="CY25" s="328">
        <v>435</v>
      </c>
      <c r="CZ25" s="322" t="s">
        <v>934</v>
      </c>
      <c r="DA25" s="323">
        <v>0</v>
      </c>
      <c r="DB25" s="323">
        <v>0</v>
      </c>
      <c r="DC25" s="323">
        <v>0</v>
      </c>
      <c r="DD25" s="323">
        <v>0</v>
      </c>
      <c r="DE25" s="323">
        <v>0</v>
      </c>
      <c r="DF25" s="323">
        <v>0</v>
      </c>
      <c r="DG25" s="323">
        <v>0</v>
      </c>
      <c r="DH25" s="323">
        <v>0</v>
      </c>
      <c r="DI25" s="323">
        <v>0</v>
      </c>
      <c r="DJ25" s="337">
        <v>17.2</v>
      </c>
      <c r="DK25" s="644">
        <v>64570.5</v>
      </c>
      <c r="DL25" s="614">
        <v>7229</v>
      </c>
      <c r="DM25" s="614">
        <v>17510</v>
      </c>
      <c r="DN25" s="614">
        <v>18847</v>
      </c>
      <c r="DO25" s="614">
        <v>12945</v>
      </c>
      <c r="DP25" s="614">
        <v>8731</v>
      </c>
      <c r="DQ25" s="614">
        <v>4982</v>
      </c>
      <c r="DR25" s="614">
        <v>4355</v>
      </c>
      <c r="DS25" s="615">
        <v>364</v>
      </c>
      <c r="DT25" s="607">
        <f t="shared" si="0"/>
        <v>74963</v>
      </c>
      <c r="DU25" s="342"/>
      <c r="DV25" s="289"/>
      <c r="DW25" s="295"/>
      <c r="DX25" s="295"/>
      <c r="DY25" s="295"/>
      <c r="DZ25" s="301"/>
      <c r="EA25" s="292"/>
      <c r="EB25" s="123"/>
      <c r="EC25" s="646"/>
      <c r="ED25" s="123"/>
      <c r="EE25" s="123"/>
      <c r="EF25" s="123"/>
      <c r="EG25" s="124"/>
    </row>
    <row r="26" spans="1:137" ht="15">
      <c r="A26" s="22">
        <v>18</v>
      </c>
      <c r="B26" s="23" t="s">
        <v>155</v>
      </c>
      <c r="C26" s="24" t="s">
        <v>156</v>
      </c>
      <c r="D26" s="613"/>
      <c r="E26" s="632">
        <v>8897</v>
      </c>
      <c r="F26" s="632">
        <v>16017</v>
      </c>
      <c r="G26" s="632">
        <v>16074</v>
      </c>
      <c r="H26" s="632">
        <v>9024</v>
      </c>
      <c r="I26" s="632">
        <v>6926</v>
      </c>
      <c r="J26" s="632">
        <v>4438</v>
      </c>
      <c r="K26" s="632">
        <v>2536</v>
      </c>
      <c r="L26" s="632">
        <v>205</v>
      </c>
      <c r="M26" s="627">
        <v>64117</v>
      </c>
      <c r="N26" s="322"/>
      <c r="O26" s="323">
        <v>514</v>
      </c>
      <c r="P26" s="323">
        <v>522</v>
      </c>
      <c r="Q26" s="323">
        <v>406</v>
      </c>
      <c r="R26" s="323">
        <v>218</v>
      </c>
      <c r="S26" s="323">
        <v>104</v>
      </c>
      <c r="T26" s="323">
        <v>73</v>
      </c>
      <c r="U26" s="323">
        <v>45</v>
      </c>
      <c r="V26" s="323">
        <v>9</v>
      </c>
      <c r="W26" s="323">
        <v>1891</v>
      </c>
      <c r="X26" s="329" t="s">
        <v>934</v>
      </c>
      <c r="Y26" s="330">
        <v>3</v>
      </c>
      <c r="Z26" s="330">
        <v>0</v>
      </c>
      <c r="AA26" s="330">
        <v>0</v>
      </c>
      <c r="AB26" s="330">
        <v>1</v>
      </c>
      <c r="AC26" s="330">
        <v>4</v>
      </c>
      <c r="AD26" s="330">
        <v>0</v>
      </c>
      <c r="AE26" s="330">
        <v>1</v>
      </c>
      <c r="AF26" s="330">
        <v>0</v>
      </c>
      <c r="AG26" s="328">
        <v>9</v>
      </c>
      <c r="AH26" s="329" t="s">
        <v>934</v>
      </c>
      <c r="AI26" s="184">
        <v>7</v>
      </c>
      <c r="AJ26" s="184">
        <v>51</v>
      </c>
      <c r="AK26" s="184">
        <v>83</v>
      </c>
      <c r="AL26" s="184">
        <v>72</v>
      </c>
      <c r="AM26" s="184">
        <v>68</v>
      </c>
      <c r="AN26" s="184">
        <v>42</v>
      </c>
      <c r="AO26" s="184">
        <v>47</v>
      </c>
      <c r="AP26" s="184">
        <v>14</v>
      </c>
      <c r="AQ26" s="336">
        <v>384</v>
      </c>
      <c r="AR26" s="323">
        <v>4</v>
      </c>
      <c r="AS26" s="323">
        <v>5398</v>
      </c>
      <c r="AT26" s="323">
        <v>6393</v>
      </c>
      <c r="AU26" s="323">
        <v>4928</v>
      </c>
      <c r="AV26" s="323">
        <v>2204</v>
      </c>
      <c r="AW26" s="323">
        <v>1156</v>
      </c>
      <c r="AX26" s="323">
        <v>605</v>
      </c>
      <c r="AY26" s="323">
        <v>235</v>
      </c>
      <c r="AZ26" s="323">
        <v>12</v>
      </c>
      <c r="BA26" s="323">
        <v>20935</v>
      </c>
      <c r="BB26" s="331">
        <v>0</v>
      </c>
      <c r="BC26" s="330">
        <v>51</v>
      </c>
      <c r="BD26" s="330">
        <v>106</v>
      </c>
      <c r="BE26" s="330">
        <v>128</v>
      </c>
      <c r="BF26" s="330">
        <v>60</v>
      </c>
      <c r="BG26" s="330">
        <v>47</v>
      </c>
      <c r="BH26" s="330">
        <v>21</v>
      </c>
      <c r="BI26" s="330">
        <v>10</v>
      </c>
      <c r="BJ26" s="330">
        <v>0</v>
      </c>
      <c r="BK26" s="328">
        <v>423</v>
      </c>
      <c r="BL26" s="323">
        <v>0</v>
      </c>
      <c r="BM26" s="323">
        <v>4</v>
      </c>
      <c r="BN26" s="323">
        <v>7</v>
      </c>
      <c r="BO26" s="323">
        <v>17</v>
      </c>
      <c r="BP26" s="323">
        <v>7</v>
      </c>
      <c r="BQ26" s="323">
        <v>14</v>
      </c>
      <c r="BR26" s="323">
        <v>40</v>
      </c>
      <c r="BS26" s="323">
        <v>30</v>
      </c>
      <c r="BT26" s="323">
        <v>7</v>
      </c>
      <c r="BU26" s="323">
        <v>126</v>
      </c>
      <c r="BV26" s="329" t="s">
        <v>934</v>
      </c>
      <c r="BW26" s="330">
        <v>159</v>
      </c>
      <c r="BX26" s="330">
        <v>148</v>
      </c>
      <c r="BY26" s="330">
        <v>93</v>
      </c>
      <c r="BZ26" s="330">
        <v>53</v>
      </c>
      <c r="CA26" s="330">
        <v>35</v>
      </c>
      <c r="CB26" s="330">
        <v>24</v>
      </c>
      <c r="CC26" s="330">
        <v>16</v>
      </c>
      <c r="CD26" s="330">
        <v>4</v>
      </c>
      <c r="CE26" s="328">
        <v>532</v>
      </c>
      <c r="CF26" s="322" t="s">
        <v>934</v>
      </c>
      <c r="CG26" s="323">
        <v>0</v>
      </c>
      <c r="CH26" s="323">
        <v>0</v>
      </c>
      <c r="CI26" s="323">
        <v>0</v>
      </c>
      <c r="CJ26" s="323">
        <v>0</v>
      </c>
      <c r="CK26" s="323">
        <v>0</v>
      </c>
      <c r="CL26" s="323">
        <v>0</v>
      </c>
      <c r="CM26" s="323">
        <v>0</v>
      </c>
      <c r="CN26" s="323">
        <v>0</v>
      </c>
      <c r="CO26" s="323">
        <v>0</v>
      </c>
      <c r="CP26" s="329" t="s">
        <v>934</v>
      </c>
      <c r="CQ26" s="330">
        <v>179</v>
      </c>
      <c r="CR26" s="330">
        <v>137</v>
      </c>
      <c r="CS26" s="330">
        <v>107</v>
      </c>
      <c r="CT26" s="330">
        <v>50</v>
      </c>
      <c r="CU26" s="330">
        <v>40</v>
      </c>
      <c r="CV26" s="330">
        <v>23</v>
      </c>
      <c r="CW26" s="330">
        <v>21</v>
      </c>
      <c r="CX26" s="330">
        <v>3</v>
      </c>
      <c r="CY26" s="328">
        <v>560</v>
      </c>
      <c r="CZ26" s="322" t="s">
        <v>934</v>
      </c>
      <c r="DA26" s="323">
        <v>0</v>
      </c>
      <c r="DB26" s="323">
        <v>0</v>
      </c>
      <c r="DC26" s="323">
        <v>0</v>
      </c>
      <c r="DD26" s="323">
        <v>0</v>
      </c>
      <c r="DE26" s="323">
        <v>0</v>
      </c>
      <c r="DF26" s="323">
        <v>0</v>
      </c>
      <c r="DG26" s="323">
        <v>0</v>
      </c>
      <c r="DH26" s="323">
        <v>0</v>
      </c>
      <c r="DI26" s="323">
        <v>0</v>
      </c>
      <c r="DJ26" s="337">
        <v>0</v>
      </c>
      <c r="DK26" s="644">
        <v>54607.7</v>
      </c>
      <c r="DL26" s="616">
        <v>9016</v>
      </c>
      <c r="DM26" s="616">
        <v>16125</v>
      </c>
      <c r="DN26" s="616">
        <v>16112</v>
      </c>
      <c r="DO26" s="616">
        <v>9081</v>
      </c>
      <c r="DP26" s="616">
        <v>6986</v>
      </c>
      <c r="DQ26" s="616">
        <v>4415</v>
      </c>
      <c r="DR26" s="616">
        <v>2567</v>
      </c>
      <c r="DS26" s="617">
        <v>206</v>
      </c>
      <c r="DT26" s="607">
        <f t="shared" si="0"/>
        <v>64508</v>
      </c>
      <c r="DU26" s="342"/>
      <c r="DV26" s="297"/>
      <c r="DW26" s="298"/>
      <c r="DX26" s="298"/>
      <c r="DY26" s="298"/>
      <c r="DZ26" s="306"/>
      <c r="EA26" s="299"/>
      <c r="EB26" s="125"/>
      <c r="EC26" s="646"/>
      <c r="ED26" s="125"/>
      <c r="EE26" s="125"/>
      <c r="EF26" s="125"/>
      <c r="EG26" s="124"/>
    </row>
    <row r="27" spans="1:137" ht="15.75">
      <c r="A27" s="22">
        <v>19</v>
      </c>
      <c r="B27" s="23" t="s">
        <v>157</v>
      </c>
      <c r="C27" s="24" t="s">
        <v>158</v>
      </c>
      <c r="D27" s="613"/>
      <c r="E27" s="629">
        <v>6883</v>
      </c>
      <c r="F27" s="629">
        <v>2363</v>
      </c>
      <c r="G27" s="629">
        <v>1826</v>
      </c>
      <c r="H27" s="629">
        <v>1320</v>
      </c>
      <c r="I27" s="629">
        <v>863</v>
      </c>
      <c r="J27" s="629">
        <v>488</v>
      </c>
      <c r="K27" s="629">
        <v>245</v>
      </c>
      <c r="L27" s="629">
        <v>33</v>
      </c>
      <c r="M27" s="627">
        <v>14021</v>
      </c>
      <c r="N27" s="322"/>
      <c r="O27" s="323">
        <v>195</v>
      </c>
      <c r="P27" s="323">
        <v>66</v>
      </c>
      <c r="Q27" s="323">
        <v>41</v>
      </c>
      <c r="R27" s="323">
        <v>27</v>
      </c>
      <c r="S27" s="323">
        <v>16</v>
      </c>
      <c r="T27" s="323">
        <v>8</v>
      </c>
      <c r="U27" s="323">
        <v>6</v>
      </c>
      <c r="V27" s="323">
        <v>2</v>
      </c>
      <c r="W27" s="323">
        <v>361</v>
      </c>
      <c r="X27" s="329" t="s">
        <v>934</v>
      </c>
      <c r="Y27" s="330">
        <v>0</v>
      </c>
      <c r="Z27" s="330">
        <v>0</v>
      </c>
      <c r="AA27" s="330">
        <v>0</v>
      </c>
      <c r="AB27" s="330">
        <v>0</v>
      </c>
      <c r="AC27" s="330">
        <v>0</v>
      </c>
      <c r="AD27" s="330">
        <v>0</v>
      </c>
      <c r="AE27" s="330">
        <v>0</v>
      </c>
      <c r="AF27" s="330">
        <v>0</v>
      </c>
      <c r="AG27" s="328">
        <v>0</v>
      </c>
      <c r="AH27" s="329" t="s">
        <v>934</v>
      </c>
      <c r="AI27" s="184">
        <v>12</v>
      </c>
      <c r="AJ27" s="184">
        <v>11</v>
      </c>
      <c r="AK27" s="184">
        <v>7</v>
      </c>
      <c r="AL27" s="184">
        <v>13</v>
      </c>
      <c r="AM27" s="184">
        <v>4</v>
      </c>
      <c r="AN27" s="184">
        <v>4</v>
      </c>
      <c r="AO27" s="184">
        <v>4</v>
      </c>
      <c r="AP27" s="184">
        <v>6</v>
      </c>
      <c r="AQ27" s="336">
        <v>61</v>
      </c>
      <c r="AR27" s="323">
        <v>2</v>
      </c>
      <c r="AS27" s="323">
        <v>2763</v>
      </c>
      <c r="AT27" s="323">
        <v>688</v>
      </c>
      <c r="AU27" s="323">
        <v>464</v>
      </c>
      <c r="AV27" s="323">
        <v>285</v>
      </c>
      <c r="AW27" s="323">
        <v>161</v>
      </c>
      <c r="AX27" s="323">
        <v>63</v>
      </c>
      <c r="AY27" s="323">
        <v>38</v>
      </c>
      <c r="AZ27" s="323">
        <v>2</v>
      </c>
      <c r="BA27" s="323">
        <v>4466</v>
      </c>
      <c r="BB27" s="331">
        <v>2</v>
      </c>
      <c r="BC27" s="330">
        <v>32</v>
      </c>
      <c r="BD27" s="330">
        <v>9</v>
      </c>
      <c r="BE27" s="330">
        <v>19</v>
      </c>
      <c r="BF27" s="330">
        <v>3</v>
      </c>
      <c r="BG27" s="330">
        <v>8</v>
      </c>
      <c r="BH27" s="330">
        <v>2</v>
      </c>
      <c r="BI27" s="330">
        <v>2</v>
      </c>
      <c r="BJ27" s="330">
        <v>0</v>
      </c>
      <c r="BK27" s="328">
        <v>77</v>
      </c>
      <c r="BL27" s="323">
        <v>0</v>
      </c>
      <c r="BM27" s="323">
        <v>3</v>
      </c>
      <c r="BN27" s="323">
        <v>0</v>
      </c>
      <c r="BO27" s="323">
        <v>1</v>
      </c>
      <c r="BP27" s="323">
        <v>2</v>
      </c>
      <c r="BQ27" s="323">
        <v>3</v>
      </c>
      <c r="BR27" s="323">
        <v>5</v>
      </c>
      <c r="BS27" s="323">
        <v>6</v>
      </c>
      <c r="BT27" s="323">
        <v>3</v>
      </c>
      <c r="BU27" s="323">
        <v>23</v>
      </c>
      <c r="BV27" s="329" t="s">
        <v>934</v>
      </c>
      <c r="BW27" s="330">
        <v>363</v>
      </c>
      <c r="BX27" s="330">
        <v>253</v>
      </c>
      <c r="BY27" s="330">
        <v>246</v>
      </c>
      <c r="BZ27" s="330">
        <v>205</v>
      </c>
      <c r="CA27" s="330">
        <v>128</v>
      </c>
      <c r="CB27" s="330">
        <v>71</v>
      </c>
      <c r="CC27" s="330">
        <v>14</v>
      </c>
      <c r="CD27" s="330">
        <v>3</v>
      </c>
      <c r="CE27" s="328">
        <v>1283</v>
      </c>
      <c r="CF27" s="322" t="s">
        <v>934</v>
      </c>
      <c r="CG27" s="323">
        <v>177</v>
      </c>
      <c r="CH27" s="323">
        <v>80</v>
      </c>
      <c r="CI27" s="323">
        <v>52</v>
      </c>
      <c r="CJ27" s="323">
        <v>30</v>
      </c>
      <c r="CK27" s="323">
        <v>13</v>
      </c>
      <c r="CL27" s="323">
        <v>12</v>
      </c>
      <c r="CM27" s="323">
        <v>4</v>
      </c>
      <c r="CN27" s="323">
        <v>1</v>
      </c>
      <c r="CO27" s="323">
        <v>369</v>
      </c>
      <c r="CP27" s="329" t="s">
        <v>934</v>
      </c>
      <c r="CQ27" s="330">
        <v>0</v>
      </c>
      <c r="CR27" s="330">
        <v>0</v>
      </c>
      <c r="CS27" s="330">
        <v>0</v>
      </c>
      <c r="CT27" s="330">
        <v>0</v>
      </c>
      <c r="CU27" s="330">
        <v>0</v>
      </c>
      <c r="CV27" s="330">
        <v>0</v>
      </c>
      <c r="CW27" s="330">
        <v>0</v>
      </c>
      <c r="CX27" s="330">
        <v>0</v>
      </c>
      <c r="CY27" s="328">
        <v>0</v>
      </c>
      <c r="CZ27" s="322" t="s">
        <v>934</v>
      </c>
      <c r="DA27" s="323">
        <v>0</v>
      </c>
      <c r="DB27" s="323">
        <v>0</v>
      </c>
      <c r="DC27" s="323">
        <v>0</v>
      </c>
      <c r="DD27" s="323">
        <v>0</v>
      </c>
      <c r="DE27" s="323">
        <v>0</v>
      </c>
      <c r="DF27" s="323">
        <v>0</v>
      </c>
      <c r="DG27" s="323">
        <v>0</v>
      </c>
      <c r="DH27" s="323">
        <v>0</v>
      </c>
      <c r="DI27" s="323">
        <v>0</v>
      </c>
      <c r="DJ27" s="337">
        <v>0</v>
      </c>
      <c r="DK27" s="644">
        <v>9689.9</v>
      </c>
      <c r="DL27" s="616">
        <v>6891</v>
      </c>
      <c r="DM27" s="616">
        <v>2361</v>
      </c>
      <c r="DN27" s="616">
        <v>1844</v>
      </c>
      <c r="DO27" s="616">
        <v>1319</v>
      </c>
      <c r="DP27" s="616">
        <v>882</v>
      </c>
      <c r="DQ27" s="616">
        <v>489</v>
      </c>
      <c r="DR27" s="616">
        <v>248</v>
      </c>
      <c r="DS27" s="617">
        <v>33</v>
      </c>
      <c r="DT27" s="607">
        <f t="shared" si="0"/>
        <v>14067</v>
      </c>
      <c r="DU27" s="342"/>
      <c r="DW27" s="120"/>
      <c r="DX27" s="121"/>
      <c r="DY27" s="125"/>
      <c r="DZ27" s="307"/>
      <c r="EA27" s="125"/>
      <c r="EB27" s="125"/>
      <c r="EC27" s="646"/>
      <c r="ED27" s="125"/>
      <c r="EE27" s="125"/>
      <c r="EF27" s="125"/>
      <c r="EG27" s="124"/>
    </row>
    <row r="28" spans="1:137" ht="15.75">
      <c r="A28" s="22">
        <v>20</v>
      </c>
      <c r="B28" s="23" t="s">
        <v>159</v>
      </c>
      <c r="C28" s="24" t="s">
        <v>160</v>
      </c>
      <c r="D28" s="613"/>
      <c r="E28" s="629">
        <v>4823</v>
      </c>
      <c r="F28" s="629">
        <v>9740</v>
      </c>
      <c r="G28" s="629">
        <v>27523</v>
      </c>
      <c r="H28" s="629">
        <v>26187</v>
      </c>
      <c r="I28" s="629">
        <v>19254</v>
      </c>
      <c r="J28" s="629">
        <v>4553</v>
      </c>
      <c r="K28" s="629">
        <v>1674</v>
      </c>
      <c r="L28" s="629">
        <v>45</v>
      </c>
      <c r="M28" s="633">
        <v>93799</v>
      </c>
      <c r="N28" s="322"/>
      <c r="O28" s="323">
        <v>171</v>
      </c>
      <c r="P28" s="323">
        <v>354</v>
      </c>
      <c r="Q28" s="323">
        <v>708</v>
      </c>
      <c r="R28" s="323">
        <v>402</v>
      </c>
      <c r="S28" s="323">
        <v>227</v>
      </c>
      <c r="T28" s="323">
        <v>50</v>
      </c>
      <c r="U28" s="323">
        <v>26</v>
      </c>
      <c r="V28" s="323">
        <v>4</v>
      </c>
      <c r="W28" s="323">
        <v>1942</v>
      </c>
      <c r="X28" s="329" t="s">
        <v>934</v>
      </c>
      <c r="Y28" s="330">
        <v>20</v>
      </c>
      <c r="Z28" s="330">
        <v>0</v>
      </c>
      <c r="AA28" s="330">
        <v>1</v>
      </c>
      <c r="AB28" s="330">
        <v>0</v>
      </c>
      <c r="AC28" s="330">
        <v>0</v>
      </c>
      <c r="AD28" s="330">
        <v>0</v>
      </c>
      <c r="AE28" s="330">
        <v>1</v>
      </c>
      <c r="AF28" s="330">
        <v>0</v>
      </c>
      <c r="AG28" s="328">
        <v>22</v>
      </c>
      <c r="AH28" s="329" t="s">
        <v>934</v>
      </c>
      <c r="AI28" s="184">
        <v>2</v>
      </c>
      <c r="AJ28" s="184">
        <v>36</v>
      </c>
      <c r="AK28" s="184">
        <v>118</v>
      </c>
      <c r="AL28" s="184">
        <v>172</v>
      </c>
      <c r="AM28" s="184">
        <v>188</v>
      </c>
      <c r="AN28" s="184">
        <v>52</v>
      </c>
      <c r="AO28" s="184">
        <v>26</v>
      </c>
      <c r="AP28" s="184">
        <v>7</v>
      </c>
      <c r="AQ28" s="336">
        <v>601</v>
      </c>
      <c r="AR28" s="323">
        <v>2</v>
      </c>
      <c r="AS28" s="323">
        <v>3034</v>
      </c>
      <c r="AT28" s="323">
        <v>6003</v>
      </c>
      <c r="AU28" s="323">
        <v>11752</v>
      </c>
      <c r="AV28" s="323">
        <v>7361</v>
      </c>
      <c r="AW28" s="323">
        <v>4012</v>
      </c>
      <c r="AX28" s="323">
        <v>678</v>
      </c>
      <c r="AY28" s="323">
        <v>198</v>
      </c>
      <c r="AZ28" s="323">
        <v>4</v>
      </c>
      <c r="BA28" s="323">
        <v>33044</v>
      </c>
      <c r="BB28" s="331">
        <v>0</v>
      </c>
      <c r="BC28" s="330">
        <v>26</v>
      </c>
      <c r="BD28" s="330">
        <v>55</v>
      </c>
      <c r="BE28" s="330">
        <v>148</v>
      </c>
      <c r="BF28" s="330">
        <v>116</v>
      </c>
      <c r="BG28" s="330">
        <v>82</v>
      </c>
      <c r="BH28" s="330">
        <v>18</v>
      </c>
      <c r="BI28" s="330">
        <v>3</v>
      </c>
      <c r="BJ28" s="330">
        <v>0</v>
      </c>
      <c r="BK28" s="328">
        <v>448</v>
      </c>
      <c r="BL28" s="323">
        <v>0</v>
      </c>
      <c r="BM28" s="323">
        <v>2</v>
      </c>
      <c r="BN28" s="323">
        <v>4</v>
      </c>
      <c r="BO28" s="323">
        <v>19</v>
      </c>
      <c r="BP28" s="323">
        <v>13</v>
      </c>
      <c r="BQ28" s="323">
        <v>13</v>
      </c>
      <c r="BR28" s="323">
        <v>18</v>
      </c>
      <c r="BS28" s="323">
        <v>13</v>
      </c>
      <c r="BT28" s="323">
        <v>6</v>
      </c>
      <c r="BU28" s="323">
        <v>88</v>
      </c>
      <c r="BV28" s="329" t="s">
        <v>934</v>
      </c>
      <c r="BW28" s="330">
        <v>4</v>
      </c>
      <c r="BX28" s="330">
        <v>8</v>
      </c>
      <c r="BY28" s="330">
        <v>20</v>
      </c>
      <c r="BZ28" s="330">
        <v>9</v>
      </c>
      <c r="CA28" s="330">
        <v>3</v>
      </c>
      <c r="CB28" s="330">
        <v>3</v>
      </c>
      <c r="CC28" s="330">
        <v>3</v>
      </c>
      <c r="CD28" s="330">
        <v>0</v>
      </c>
      <c r="CE28" s="328">
        <v>50</v>
      </c>
      <c r="CF28" s="322" t="s">
        <v>934</v>
      </c>
      <c r="CG28" s="323">
        <v>0</v>
      </c>
      <c r="CH28" s="323">
        <v>0</v>
      </c>
      <c r="CI28" s="323">
        <v>0</v>
      </c>
      <c r="CJ28" s="323">
        <v>0</v>
      </c>
      <c r="CK28" s="323">
        <v>0</v>
      </c>
      <c r="CL28" s="323">
        <v>0</v>
      </c>
      <c r="CM28" s="323">
        <v>0</v>
      </c>
      <c r="CN28" s="323">
        <v>0</v>
      </c>
      <c r="CO28" s="323">
        <v>0</v>
      </c>
      <c r="CP28" s="329" t="s">
        <v>934</v>
      </c>
      <c r="CQ28" s="330">
        <v>0</v>
      </c>
      <c r="CR28" s="330">
        <v>0</v>
      </c>
      <c r="CS28" s="330">
        <v>0</v>
      </c>
      <c r="CT28" s="330">
        <v>0</v>
      </c>
      <c r="CU28" s="330">
        <v>0</v>
      </c>
      <c r="CV28" s="330">
        <v>0</v>
      </c>
      <c r="CW28" s="330">
        <v>0</v>
      </c>
      <c r="CX28" s="330">
        <v>0</v>
      </c>
      <c r="CY28" s="328">
        <v>0</v>
      </c>
      <c r="CZ28" s="322" t="s">
        <v>934</v>
      </c>
      <c r="DA28" s="323">
        <v>47</v>
      </c>
      <c r="DB28" s="323">
        <v>170</v>
      </c>
      <c r="DC28" s="323">
        <v>285</v>
      </c>
      <c r="DD28" s="323">
        <v>198</v>
      </c>
      <c r="DE28" s="323">
        <v>91</v>
      </c>
      <c r="DF28" s="323">
        <v>20</v>
      </c>
      <c r="DG28" s="323">
        <v>11</v>
      </c>
      <c r="DH28" s="323">
        <v>1</v>
      </c>
      <c r="DI28" s="323">
        <v>823</v>
      </c>
      <c r="DJ28" s="337">
        <v>0</v>
      </c>
      <c r="DK28" s="644">
        <v>84549.9</v>
      </c>
      <c r="DL28" s="616">
        <v>4812</v>
      </c>
      <c r="DM28" s="616">
        <v>9786</v>
      </c>
      <c r="DN28" s="616">
        <v>27702</v>
      </c>
      <c r="DO28" s="616">
        <v>26280</v>
      </c>
      <c r="DP28" s="616">
        <v>19266</v>
      </c>
      <c r="DQ28" s="616">
        <v>4567</v>
      </c>
      <c r="DR28" s="616">
        <v>1670</v>
      </c>
      <c r="DS28" s="617">
        <v>48</v>
      </c>
      <c r="DT28" s="608">
        <f t="shared" si="0"/>
        <v>94131</v>
      </c>
      <c r="DU28" s="342"/>
      <c r="DW28" s="120"/>
      <c r="DX28" s="121"/>
      <c r="DY28" s="125"/>
      <c r="DZ28" s="307"/>
      <c r="EA28" s="125"/>
      <c r="EB28" s="125"/>
      <c r="EC28" s="646"/>
      <c r="ED28" s="125"/>
      <c r="EE28" s="125"/>
      <c r="EF28" s="125"/>
      <c r="EG28" s="128"/>
    </row>
    <row r="29" spans="1:137" ht="15">
      <c r="A29" s="22">
        <v>21</v>
      </c>
      <c r="B29" s="23" t="s">
        <v>161</v>
      </c>
      <c r="C29" s="24" t="s">
        <v>162</v>
      </c>
      <c r="D29" s="613"/>
      <c r="E29" s="634">
        <v>156120</v>
      </c>
      <c r="F29" s="634">
        <v>120808</v>
      </c>
      <c r="G29" s="634">
        <v>70235</v>
      </c>
      <c r="H29" s="634">
        <v>33554</v>
      </c>
      <c r="I29" s="634">
        <v>19029</v>
      </c>
      <c r="J29" s="634">
        <v>8234</v>
      </c>
      <c r="K29" s="634">
        <v>5613</v>
      </c>
      <c r="L29" s="634">
        <v>819</v>
      </c>
      <c r="M29" s="635">
        <v>414412</v>
      </c>
      <c r="N29" s="322"/>
      <c r="O29" s="323">
        <v>6078</v>
      </c>
      <c r="P29" s="323">
        <v>4019</v>
      </c>
      <c r="Q29" s="323">
        <v>2016</v>
      </c>
      <c r="R29" s="323">
        <v>1257</v>
      </c>
      <c r="S29" s="323">
        <v>596</v>
      </c>
      <c r="T29" s="323">
        <v>176</v>
      </c>
      <c r="U29" s="323">
        <v>109</v>
      </c>
      <c r="V29" s="323">
        <v>43</v>
      </c>
      <c r="W29" s="323">
        <v>14294</v>
      </c>
      <c r="X29" s="329" t="s">
        <v>934</v>
      </c>
      <c r="Y29" s="330">
        <v>0</v>
      </c>
      <c r="Z29" s="330">
        <v>0</v>
      </c>
      <c r="AA29" s="330">
        <v>0</v>
      </c>
      <c r="AB29" s="330">
        <v>0</v>
      </c>
      <c r="AC29" s="330">
        <v>0</v>
      </c>
      <c r="AD29" s="330">
        <v>0</v>
      </c>
      <c r="AE29" s="330">
        <v>0</v>
      </c>
      <c r="AF29" s="330">
        <v>0</v>
      </c>
      <c r="AG29" s="328">
        <v>0</v>
      </c>
      <c r="AH29" s="329" t="s">
        <v>934</v>
      </c>
      <c r="AI29" s="184">
        <v>246</v>
      </c>
      <c r="AJ29" s="184">
        <v>673</v>
      </c>
      <c r="AK29" s="184">
        <v>486</v>
      </c>
      <c r="AL29" s="184">
        <v>300</v>
      </c>
      <c r="AM29" s="184">
        <v>180</v>
      </c>
      <c r="AN29" s="184">
        <v>108</v>
      </c>
      <c r="AO29" s="184">
        <v>90</v>
      </c>
      <c r="AP29" s="184">
        <v>50</v>
      </c>
      <c r="AQ29" s="336">
        <v>2133</v>
      </c>
      <c r="AR29" s="323">
        <v>62</v>
      </c>
      <c r="AS29" s="323">
        <v>84152</v>
      </c>
      <c r="AT29" s="323">
        <v>47383</v>
      </c>
      <c r="AU29" s="323">
        <v>22015</v>
      </c>
      <c r="AV29" s="323">
        <v>8605</v>
      </c>
      <c r="AW29" s="323">
        <v>3950</v>
      </c>
      <c r="AX29" s="323">
        <v>1443</v>
      </c>
      <c r="AY29" s="323">
        <v>771</v>
      </c>
      <c r="AZ29" s="323">
        <v>70</v>
      </c>
      <c r="BA29" s="323">
        <v>168451</v>
      </c>
      <c r="BB29" s="331">
        <v>4</v>
      </c>
      <c r="BC29" s="330">
        <v>753</v>
      </c>
      <c r="BD29" s="330">
        <v>938</v>
      </c>
      <c r="BE29" s="330">
        <v>598</v>
      </c>
      <c r="BF29" s="330">
        <v>243</v>
      </c>
      <c r="BG29" s="330">
        <v>161</v>
      </c>
      <c r="BH29" s="330">
        <v>46</v>
      </c>
      <c r="BI29" s="330">
        <v>17</v>
      </c>
      <c r="BJ29" s="330">
        <v>4</v>
      </c>
      <c r="BK29" s="328">
        <v>2764</v>
      </c>
      <c r="BL29" s="323">
        <v>2</v>
      </c>
      <c r="BM29" s="323">
        <v>188</v>
      </c>
      <c r="BN29" s="323">
        <v>122</v>
      </c>
      <c r="BO29" s="323">
        <v>90</v>
      </c>
      <c r="BP29" s="323">
        <v>77</v>
      </c>
      <c r="BQ29" s="323">
        <v>63</v>
      </c>
      <c r="BR29" s="323">
        <v>79</v>
      </c>
      <c r="BS29" s="323">
        <v>116</v>
      </c>
      <c r="BT29" s="323">
        <v>40</v>
      </c>
      <c r="BU29" s="323">
        <v>777</v>
      </c>
      <c r="BV29" s="329" t="s">
        <v>934</v>
      </c>
      <c r="BW29" s="330">
        <v>3368</v>
      </c>
      <c r="BX29" s="330">
        <v>1637</v>
      </c>
      <c r="BY29" s="330">
        <v>895</v>
      </c>
      <c r="BZ29" s="330">
        <v>642</v>
      </c>
      <c r="CA29" s="330">
        <v>371</v>
      </c>
      <c r="CB29" s="330">
        <v>127</v>
      </c>
      <c r="CC29" s="330">
        <v>65</v>
      </c>
      <c r="CD29" s="330">
        <v>12</v>
      </c>
      <c r="CE29" s="328">
        <v>7117</v>
      </c>
      <c r="CF29" s="322" t="s">
        <v>934</v>
      </c>
      <c r="CG29" s="323">
        <v>0</v>
      </c>
      <c r="CH29" s="323">
        <v>0</v>
      </c>
      <c r="CI29" s="323">
        <v>0</v>
      </c>
      <c r="CJ29" s="323">
        <v>0</v>
      </c>
      <c r="CK29" s="323">
        <v>0</v>
      </c>
      <c r="CL29" s="323">
        <v>0</v>
      </c>
      <c r="CM29" s="323">
        <v>0</v>
      </c>
      <c r="CN29" s="323">
        <v>0</v>
      </c>
      <c r="CO29" s="323">
        <v>0</v>
      </c>
      <c r="CP29" s="329" t="s">
        <v>934</v>
      </c>
      <c r="CQ29" s="330">
        <v>0</v>
      </c>
      <c r="CR29" s="330">
        <v>0</v>
      </c>
      <c r="CS29" s="330">
        <v>0</v>
      </c>
      <c r="CT29" s="330">
        <v>0</v>
      </c>
      <c r="CU29" s="330">
        <v>0</v>
      </c>
      <c r="CV29" s="330">
        <v>0</v>
      </c>
      <c r="CW29" s="330">
        <v>0</v>
      </c>
      <c r="CX29" s="330">
        <v>0</v>
      </c>
      <c r="CY29" s="328">
        <v>0</v>
      </c>
      <c r="CZ29" s="322" t="s">
        <v>934</v>
      </c>
      <c r="DA29" s="323">
        <v>4656</v>
      </c>
      <c r="DB29" s="323">
        <v>1361</v>
      </c>
      <c r="DC29" s="323">
        <v>887</v>
      </c>
      <c r="DD29" s="323">
        <v>544</v>
      </c>
      <c r="DE29" s="323">
        <v>326</v>
      </c>
      <c r="DF29" s="323">
        <v>119</v>
      </c>
      <c r="DG29" s="323">
        <v>107</v>
      </c>
      <c r="DH29" s="323">
        <v>15</v>
      </c>
      <c r="DI29" s="323">
        <v>8015</v>
      </c>
      <c r="DJ29" s="337">
        <v>22.7</v>
      </c>
      <c r="DK29" s="644">
        <v>291563</v>
      </c>
      <c r="DL29" s="618">
        <v>155899</v>
      </c>
      <c r="DM29" s="618">
        <v>121556</v>
      </c>
      <c r="DN29" s="618">
        <v>70863</v>
      </c>
      <c r="DO29" s="618">
        <v>34259</v>
      </c>
      <c r="DP29" s="618">
        <v>19329</v>
      </c>
      <c r="DQ29" s="618">
        <v>8314</v>
      </c>
      <c r="DR29" s="618">
        <v>5645</v>
      </c>
      <c r="DS29" s="619">
        <v>821</v>
      </c>
      <c r="DT29" s="609">
        <f t="shared" si="0"/>
        <v>416686</v>
      </c>
      <c r="DU29" s="342"/>
      <c r="EC29" s="646"/>
      <c r="EF29" s="129"/>
      <c r="EG29" s="124"/>
    </row>
    <row r="30" spans="1:137" ht="15">
      <c r="A30" s="22">
        <v>22</v>
      </c>
      <c r="B30" s="23" t="s">
        <v>163</v>
      </c>
      <c r="C30" s="24" t="s">
        <v>164</v>
      </c>
      <c r="D30" s="613"/>
      <c r="E30" s="632">
        <v>4297</v>
      </c>
      <c r="F30" s="632">
        <v>13742</v>
      </c>
      <c r="G30" s="632">
        <v>8906</v>
      </c>
      <c r="H30" s="632">
        <v>5891</v>
      </c>
      <c r="I30" s="632">
        <v>3540</v>
      </c>
      <c r="J30" s="632">
        <v>1175</v>
      </c>
      <c r="K30" s="632">
        <v>465</v>
      </c>
      <c r="L30" s="632">
        <v>31</v>
      </c>
      <c r="M30" s="627">
        <v>38047</v>
      </c>
      <c r="N30" s="322"/>
      <c r="O30" s="323">
        <v>197</v>
      </c>
      <c r="P30" s="323">
        <v>373</v>
      </c>
      <c r="Q30" s="323">
        <v>176</v>
      </c>
      <c r="R30" s="323">
        <v>114</v>
      </c>
      <c r="S30" s="323">
        <v>67</v>
      </c>
      <c r="T30" s="323">
        <v>24</v>
      </c>
      <c r="U30" s="323">
        <v>15</v>
      </c>
      <c r="V30" s="323">
        <v>2</v>
      </c>
      <c r="W30" s="323">
        <v>968</v>
      </c>
      <c r="X30" s="329" t="s">
        <v>934</v>
      </c>
      <c r="Y30" s="330">
        <v>0</v>
      </c>
      <c r="Z30" s="330">
        <v>0</v>
      </c>
      <c r="AA30" s="330">
        <v>0</v>
      </c>
      <c r="AB30" s="330">
        <v>0</v>
      </c>
      <c r="AC30" s="330">
        <v>0</v>
      </c>
      <c r="AD30" s="330">
        <v>0</v>
      </c>
      <c r="AE30" s="330">
        <v>0</v>
      </c>
      <c r="AF30" s="330">
        <v>0</v>
      </c>
      <c r="AG30" s="328">
        <v>0</v>
      </c>
      <c r="AH30" s="329" t="s">
        <v>934</v>
      </c>
      <c r="AI30" s="184">
        <v>15</v>
      </c>
      <c r="AJ30" s="184">
        <v>48</v>
      </c>
      <c r="AK30" s="184">
        <v>38</v>
      </c>
      <c r="AL30" s="184">
        <v>20</v>
      </c>
      <c r="AM30" s="184">
        <v>16</v>
      </c>
      <c r="AN30" s="184">
        <v>5</v>
      </c>
      <c r="AO30" s="184">
        <v>7</v>
      </c>
      <c r="AP30" s="184">
        <v>1</v>
      </c>
      <c r="AQ30" s="336">
        <v>150</v>
      </c>
      <c r="AR30" s="323">
        <v>3</v>
      </c>
      <c r="AS30" s="323">
        <v>2198</v>
      </c>
      <c r="AT30" s="323">
        <v>4286</v>
      </c>
      <c r="AU30" s="323">
        <v>2194</v>
      </c>
      <c r="AV30" s="323">
        <v>1050</v>
      </c>
      <c r="AW30" s="323">
        <v>479</v>
      </c>
      <c r="AX30" s="323">
        <v>135</v>
      </c>
      <c r="AY30" s="323">
        <v>43</v>
      </c>
      <c r="AZ30" s="323">
        <v>2</v>
      </c>
      <c r="BA30" s="323">
        <v>10390</v>
      </c>
      <c r="BB30" s="331">
        <v>1</v>
      </c>
      <c r="BC30" s="330">
        <v>20</v>
      </c>
      <c r="BD30" s="330">
        <v>95</v>
      </c>
      <c r="BE30" s="330">
        <v>74</v>
      </c>
      <c r="BF30" s="330">
        <v>41</v>
      </c>
      <c r="BG30" s="330">
        <v>12</v>
      </c>
      <c r="BH30" s="330">
        <v>6</v>
      </c>
      <c r="BI30" s="330">
        <v>2</v>
      </c>
      <c r="BJ30" s="330">
        <v>0</v>
      </c>
      <c r="BK30" s="328">
        <v>251</v>
      </c>
      <c r="BL30" s="323">
        <v>0</v>
      </c>
      <c r="BM30" s="323">
        <v>6</v>
      </c>
      <c r="BN30" s="323">
        <v>7</v>
      </c>
      <c r="BO30" s="323">
        <v>7</v>
      </c>
      <c r="BP30" s="323">
        <v>3</v>
      </c>
      <c r="BQ30" s="323">
        <v>1</v>
      </c>
      <c r="BR30" s="323">
        <v>4</v>
      </c>
      <c r="BS30" s="323">
        <v>9</v>
      </c>
      <c r="BT30" s="323">
        <v>8</v>
      </c>
      <c r="BU30" s="323">
        <v>45</v>
      </c>
      <c r="BV30" s="329" t="s">
        <v>934</v>
      </c>
      <c r="BW30" s="330">
        <v>17</v>
      </c>
      <c r="BX30" s="330">
        <v>25</v>
      </c>
      <c r="BY30" s="330">
        <v>11</v>
      </c>
      <c r="BZ30" s="330">
        <v>14</v>
      </c>
      <c r="CA30" s="330">
        <v>6</v>
      </c>
      <c r="CB30" s="330">
        <v>6</v>
      </c>
      <c r="CC30" s="330">
        <v>3</v>
      </c>
      <c r="CD30" s="330">
        <v>1</v>
      </c>
      <c r="CE30" s="328">
        <v>83</v>
      </c>
      <c r="CF30" s="322" t="s">
        <v>934</v>
      </c>
      <c r="CG30" s="323">
        <v>64</v>
      </c>
      <c r="CH30" s="323">
        <v>116</v>
      </c>
      <c r="CI30" s="323">
        <v>58</v>
      </c>
      <c r="CJ30" s="323">
        <v>36</v>
      </c>
      <c r="CK30" s="323">
        <v>24</v>
      </c>
      <c r="CL30" s="323">
        <v>22</v>
      </c>
      <c r="CM30" s="323">
        <v>6</v>
      </c>
      <c r="CN30" s="323">
        <v>1</v>
      </c>
      <c r="CO30" s="323">
        <v>327</v>
      </c>
      <c r="CP30" s="329" t="s">
        <v>934</v>
      </c>
      <c r="CQ30" s="330">
        <v>0</v>
      </c>
      <c r="CR30" s="330">
        <v>0</v>
      </c>
      <c r="CS30" s="330">
        <v>0</v>
      </c>
      <c r="CT30" s="330">
        <v>0</v>
      </c>
      <c r="CU30" s="330">
        <v>0</v>
      </c>
      <c r="CV30" s="330">
        <v>0</v>
      </c>
      <c r="CW30" s="330">
        <v>0</v>
      </c>
      <c r="CX30" s="330">
        <v>0</v>
      </c>
      <c r="CY30" s="328">
        <v>0</v>
      </c>
      <c r="CZ30" s="322" t="s">
        <v>934</v>
      </c>
      <c r="DA30" s="323">
        <v>0</v>
      </c>
      <c r="DB30" s="323">
        <v>0</v>
      </c>
      <c r="DC30" s="323">
        <v>0</v>
      </c>
      <c r="DD30" s="323">
        <v>0</v>
      </c>
      <c r="DE30" s="323">
        <v>0</v>
      </c>
      <c r="DF30" s="323">
        <v>0</v>
      </c>
      <c r="DG30" s="323">
        <v>0</v>
      </c>
      <c r="DH30" s="323">
        <v>0</v>
      </c>
      <c r="DI30" s="323">
        <v>0</v>
      </c>
      <c r="DJ30" s="337">
        <v>0</v>
      </c>
      <c r="DK30" s="644">
        <v>30930.5</v>
      </c>
      <c r="DL30" s="616">
        <v>4341</v>
      </c>
      <c r="DM30" s="616">
        <v>13829</v>
      </c>
      <c r="DN30" s="616">
        <v>9004</v>
      </c>
      <c r="DO30" s="616">
        <v>5935</v>
      </c>
      <c r="DP30" s="616">
        <v>3575</v>
      </c>
      <c r="DQ30" s="616">
        <v>1168</v>
      </c>
      <c r="DR30" s="616">
        <v>470</v>
      </c>
      <c r="DS30" s="617">
        <v>34</v>
      </c>
      <c r="DT30" s="607">
        <f t="shared" si="0"/>
        <v>38356</v>
      </c>
      <c r="DU30" s="342"/>
      <c r="EC30" s="646"/>
      <c r="EF30" s="127"/>
      <c r="EG30" s="124"/>
    </row>
    <row r="31" spans="1:137" ht="15">
      <c r="A31" s="22">
        <v>23</v>
      </c>
      <c r="B31" s="23" t="s">
        <v>177</v>
      </c>
      <c r="C31" s="24" t="s">
        <v>178</v>
      </c>
      <c r="D31" s="613"/>
      <c r="E31" s="628">
        <v>35090</v>
      </c>
      <c r="F31" s="628">
        <v>8360</v>
      </c>
      <c r="G31" s="628">
        <v>8008</v>
      </c>
      <c r="H31" s="628">
        <v>4181</v>
      </c>
      <c r="I31" s="628">
        <v>2046</v>
      </c>
      <c r="J31" s="628">
        <v>805</v>
      </c>
      <c r="K31" s="628">
        <v>548</v>
      </c>
      <c r="L31" s="628">
        <v>62</v>
      </c>
      <c r="M31" s="627">
        <v>59100</v>
      </c>
      <c r="N31" s="322"/>
      <c r="O31" s="323">
        <v>1719</v>
      </c>
      <c r="P31" s="323">
        <v>201</v>
      </c>
      <c r="Q31" s="323">
        <v>141</v>
      </c>
      <c r="R31" s="323">
        <v>74</v>
      </c>
      <c r="S31" s="323">
        <v>30</v>
      </c>
      <c r="T31" s="323">
        <v>10</v>
      </c>
      <c r="U31" s="323">
        <v>7</v>
      </c>
      <c r="V31" s="323">
        <v>2</v>
      </c>
      <c r="W31" s="323">
        <v>2184</v>
      </c>
      <c r="X31" s="329" t="s">
        <v>934</v>
      </c>
      <c r="Y31" s="330">
        <v>0</v>
      </c>
      <c r="Z31" s="330">
        <v>0</v>
      </c>
      <c r="AA31" s="330">
        <v>0</v>
      </c>
      <c r="AB31" s="330">
        <v>0</v>
      </c>
      <c r="AC31" s="330">
        <v>0</v>
      </c>
      <c r="AD31" s="330">
        <v>0</v>
      </c>
      <c r="AE31" s="330">
        <v>0</v>
      </c>
      <c r="AF31" s="330">
        <v>0</v>
      </c>
      <c r="AG31" s="328">
        <v>0</v>
      </c>
      <c r="AH31" s="329" t="s">
        <v>934</v>
      </c>
      <c r="AI31" s="184">
        <v>63</v>
      </c>
      <c r="AJ31" s="184">
        <v>43</v>
      </c>
      <c r="AK31" s="184">
        <v>52</v>
      </c>
      <c r="AL31" s="184">
        <v>28</v>
      </c>
      <c r="AM31" s="184">
        <v>13</v>
      </c>
      <c r="AN31" s="184">
        <v>15</v>
      </c>
      <c r="AO31" s="184">
        <v>16</v>
      </c>
      <c r="AP31" s="184">
        <v>19</v>
      </c>
      <c r="AQ31" s="336">
        <v>249</v>
      </c>
      <c r="AR31" s="323">
        <v>10</v>
      </c>
      <c r="AS31" s="323">
        <v>14280</v>
      </c>
      <c r="AT31" s="323">
        <v>2560</v>
      </c>
      <c r="AU31" s="323">
        <v>1922</v>
      </c>
      <c r="AV31" s="323">
        <v>750</v>
      </c>
      <c r="AW31" s="323">
        <v>293</v>
      </c>
      <c r="AX31" s="323">
        <v>97</v>
      </c>
      <c r="AY31" s="323">
        <v>48</v>
      </c>
      <c r="AZ31" s="323">
        <v>2</v>
      </c>
      <c r="BA31" s="323">
        <v>19962</v>
      </c>
      <c r="BB31" s="331">
        <v>0</v>
      </c>
      <c r="BC31" s="330">
        <v>213</v>
      </c>
      <c r="BD31" s="330">
        <v>45</v>
      </c>
      <c r="BE31" s="330">
        <v>49</v>
      </c>
      <c r="BF31" s="330">
        <v>21</v>
      </c>
      <c r="BG31" s="330">
        <v>11</v>
      </c>
      <c r="BH31" s="330">
        <v>2</v>
      </c>
      <c r="BI31" s="330">
        <v>4</v>
      </c>
      <c r="BJ31" s="330">
        <v>0</v>
      </c>
      <c r="BK31" s="328">
        <v>345</v>
      </c>
      <c r="BL31" s="323">
        <v>0</v>
      </c>
      <c r="BM31" s="323">
        <v>20</v>
      </c>
      <c r="BN31" s="323">
        <v>3</v>
      </c>
      <c r="BO31" s="323">
        <v>3</v>
      </c>
      <c r="BP31" s="323">
        <v>3</v>
      </c>
      <c r="BQ31" s="323">
        <v>5</v>
      </c>
      <c r="BR31" s="323">
        <v>15</v>
      </c>
      <c r="BS31" s="323">
        <v>20</v>
      </c>
      <c r="BT31" s="323">
        <v>1</v>
      </c>
      <c r="BU31" s="323">
        <v>70</v>
      </c>
      <c r="BV31" s="329" t="s">
        <v>934</v>
      </c>
      <c r="BW31" s="330">
        <v>14</v>
      </c>
      <c r="BX31" s="330">
        <v>5</v>
      </c>
      <c r="BY31" s="330">
        <v>5</v>
      </c>
      <c r="BZ31" s="330">
        <v>5</v>
      </c>
      <c r="CA31" s="330">
        <v>2</v>
      </c>
      <c r="CB31" s="330">
        <v>1</v>
      </c>
      <c r="CC31" s="330">
        <v>3</v>
      </c>
      <c r="CD31" s="330">
        <v>0</v>
      </c>
      <c r="CE31" s="328">
        <v>35</v>
      </c>
      <c r="CF31" s="322" t="s">
        <v>934</v>
      </c>
      <c r="CG31" s="323">
        <v>1244</v>
      </c>
      <c r="CH31" s="323">
        <v>173</v>
      </c>
      <c r="CI31" s="323">
        <v>112</v>
      </c>
      <c r="CJ31" s="323">
        <v>53</v>
      </c>
      <c r="CK31" s="323">
        <v>29</v>
      </c>
      <c r="CL31" s="323">
        <v>16</v>
      </c>
      <c r="CM31" s="323">
        <v>17</v>
      </c>
      <c r="CN31" s="323">
        <v>3</v>
      </c>
      <c r="CO31" s="323">
        <v>1647</v>
      </c>
      <c r="CP31" s="329" t="s">
        <v>934</v>
      </c>
      <c r="CQ31" s="330">
        <v>0</v>
      </c>
      <c r="CR31" s="330">
        <v>0</v>
      </c>
      <c r="CS31" s="330">
        <v>0</v>
      </c>
      <c r="CT31" s="330">
        <v>0</v>
      </c>
      <c r="CU31" s="330">
        <v>0</v>
      </c>
      <c r="CV31" s="330">
        <v>0</v>
      </c>
      <c r="CW31" s="330">
        <v>0</v>
      </c>
      <c r="CX31" s="330">
        <v>0</v>
      </c>
      <c r="CY31" s="328">
        <v>0</v>
      </c>
      <c r="CZ31" s="322" t="s">
        <v>934</v>
      </c>
      <c r="DA31" s="323">
        <v>0</v>
      </c>
      <c r="DB31" s="323">
        <v>0</v>
      </c>
      <c r="DC31" s="323">
        <v>0</v>
      </c>
      <c r="DD31" s="323">
        <v>0</v>
      </c>
      <c r="DE31" s="323">
        <v>0</v>
      </c>
      <c r="DF31" s="323">
        <v>0</v>
      </c>
      <c r="DG31" s="323">
        <v>0</v>
      </c>
      <c r="DH31" s="323">
        <v>0</v>
      </c>
      <c r="DI31" s="323">
        <v>0</v>
      </c>
      <c r="DJ31" s="337">
        <v>0</v>
      </c>
      <c r="DK31" s="644">
        <v>39922.3</v>
      </c>
      <c r="DL31" s="614">
        <v>35106</v>
      </c>
      <c r="DM31" s="614">
        <v>8436</v>
      </c>
      <c r="DN31" s="614">
        <v>8061</v>
      </c>
      <c r="DO31" s="614">
        <v>4193</v>
      </c>
      <c r="DP31" s="614">
        <v>2062</v>
      </c>
      <c r="DQ31" s="614">
        <v>792</v>
      </c>
      <c r="DR31" s="614">
        <v>549</v>
      </c>
      <c r="DS31" s="615">
        <v>63</v>
      </c>
      <c r="DT31" s="607">
        <f t="shared" si="0"/>
        <v>59262</v>
      </c>
      <c r="DU31" s="342"/>
      <c r="EC31" s="646"/>
      <c r="EF31" s="126"/>
      <c r="EG31" s="124"/>
    </row>
    <row r="32" spans="1:137" ht="15">
      <c r="A32" s="22">
        <v>24</v>
      </c>
      <c r="B32" s="23" t="s">
        <v>179</v>
      </c>
      <c r="C32" s="24" t="s">
        <v>180</v>
      </c>
      <c r="D32" s="613"/>
      <c r="E32" s="628">
        <v>30154</v>
      </c>
      <c r="F32" s="628">
        <v>20006</v>
      </c>
      <c r="G32" s="628">
        <v>11169</v>
      </c>
      <c r="H32" s="628">
        <v>4563</v>
      </c>
      <c r="I32" s="628">
        <v>1818</v>
      </c>
      <c r="J32" s="628">
        <v>546</v>
      </c>
      <c r="K32" s="628">
        <v>270</v>
      </c>
      <c r="L32" s="628">
        <v>28</v>
      </c>
      <c r="M32" s="627">
        <v>68554</v>
      </c>
      <c r="N32" s="322"/>
      <c r="O32" s="323">
        <v>1207</v>
      </c>
      <c r="P32" s="323">
        <v>545</v>
      </c>
      <c r="Q32" s="323">
        <v>263</v>
      </c>
      <c r="R32" s="323">
        <v>79</v>
      </c>
      <c r="S32" s="323">
        <v>29</v>
      </c>
      <c r="T32" s="323">
        <v>15</v>
      </c>
      <c r="U32" s="323">
        <v>7</v>
      </c>
      <c r="V32" s="323">
        <v>0</v>
      </c>
      <c r="W32" s="323">
        <v>2145</v>
      </c>
      <c r="X32" s="329" t="s">
        <v>934</v>
      </c>
      <c r="Y32" s="330">
        <v>0</v>
      </c>
      <c r="Z32" s="330">
        <v>0</v>
      </c>
      <c r="AA32" s="330">
        <v>0</v>
      </c>
      <c r="AB32" s="330">
        <v>0</v>
      </c>
      <c r="AC32" s="330">
        <v>0</v>
      </c>
      <c r="AD32" s="330">
        <v>0</v>
      </c>
      <c r="AE32" s="330">
        <v>0</v>
      </c>
      <c r="AF32" s="330">
        <v>0</v>
      </c>
      <c r="AG32" s="328">
        <v>0</v>
      </c>
      <c r="AH32" s="329" t="s">
        <v>934</v>
      </c>
      <c r="AI32" s="184">
        <v>55</v>
      </c>
      <c r="AJ32" s="184">
        <v>140</v>
      </c>
      <c r="AK32" s="184">
        <v>100</v>
      </c>
      <c r="AL32" s="184">
        <v>71</v>
      </c>
      <c r="AM32" s="184">
        <v>24</v>
      </c>
      <c r="AN32" s="184">
        <v>29</v>
      </c>
      <c r="AO32" s="184">
        <v>16</v>
      </c>
      <c r="AP32" s="184">
        <v>7</v>
      </c>
      <c r="AQ32" s="336">
        <v>442</v>
      </c>
      <c r="AR32" s="323">
        <v>15</v>
      </c>
      <c r="AS32" s="323">
        <v>14836</v>
      </c>
      <c r="AT32" s="323">
        <v>6910</v>
      </c>
      <c r="AU32" s="323">
        <v>3095</v>
      </c>
      <c r="AV32" s="323">
        <v>999</v>
      </c>
      <c r="AW32" s="323">
        <v>279</v>
      </c>
      <c r="AX32" s="323">
        <v>76</v>
      </c>
      <c r="AY32" s="323">
        <v>38</v>
      </c>
      <c r="AZ32" s="323">
        <v>2</v>
      </c>
      <c r="BA32" s="323">
        <v>26250</v>
      </c>
      <c r="BB32" s="331">
        <v>1</v>
      </c>
      <c r="BC32" s="330">
        <v>240</v>
      </c>
      <c r="BD32" s="330">
        <v>209</v>
      </c>
      <c r="BE32" s="330">
        <v>139</v>
      </c>
      <c r="BF32" s="330">
        <v>54</v>
      </c>
      <c r="BG32" s="330">
        <v>18</v>
      </c>
      <c r="BH32" s="330">
        <v>7</v>
      </c>
      <c r="BI32" s="330">
        <v>2</v>
      </c>
      <c r="BJ32" s="330">
        <v>0</v>
      </c>
      <c r="BK32" s="328">
        <v>670</v>
      </c>
      <c r="BL32" s="323">
        <v>0</v>
      </c>
      <c r="BM32" s="323">
        <v>9</v>
      </c>
      <c r="BN32" s="323">
        <v>10</v>
      </c>
      <c r="BO32" s="323">
        <v>15</v>
      </c>
      <c r="BP32" s="323">
        <v>11</v>
      </c>
      <c r="BQ32" s="323">
        <v>16</v>
      </c>
      <c r="BR32" s="323">
        <v>18</v>
      </c>
      <c r="BS32" s="323">
        <v>12</v>
      </c>
      <c r="BT32" s="323">
        <v>4</v>
      </c>
      <c r="BU32" s="323">
        <v>95</v>
      </c>
      <c r="BV32" s="329" t="s">
        <v>934</v>
      </c>
      <c r="BW32" s="330">
        <v>0</v>
      </c>
      <c r="BX32" s="330">
        <v>0</v>
      </c>
      <c r="BY32" s="330">
        <v>0</v>
      </c>
      <c r="BZ32" s="330">
        <v>0</v>
      </c>
      <c r="CA32" s="330">
        <v>0</v>
      </c>
      <c r="CB32" s="330">
        <v>0</v>
      </c>
      <c r="CC32" s="330">
        <v>0</v>
      </c>
      <c r="CD32" s="330">
        <v>0</v>
      </c>
      <c r="CE32" s="328">
        <v>0</v>
      </c>
      <c r="CF32" s="322" t="s">
        <v>934</v>
      </c>
      <c r="CG32" s="323">
        <v>1252</v>
      </c>
      <c r="CH32" s="323">
        <v>464</v>
      </c>
      <c r="CI32" s="323">
        <v>259</v>
      </c>
      <c r="CJ32" s="323">
        <v>89</v>
      </c>
      <c r="CK32" s="323">
        <v>58</v>
      </c>
      <c r="CL32" s="323">
        <v>14</v>
      </c>
      <c r="CM32" s="323">
        <v>5</v>
      </c>
      <c r="CN32" s="323">
        <v>0</v>
      </c>
      <c r="CO32" s="323">
        <v>2141</v>
      </c>
      <c r="CP32" s="329" t="s">
        <v>934</v>
      </c>
      <c r="CQ32" s="330">
        <v>0</v>
      </c>
      <c r="CR32" s="330">
        <v>0</v>
      </c>
      <c r="CS32" s="330">
        <v>0</v>
      </c>
      <c r="CT32" s="330">
        <v>0</v>
      </c>
      <c r="CU32" s="330">
        <v>0</v>
      </c>
      <c r="CV32" s="330">
        <v>0</v>
      </c>
      <c r="CW32" s="330">
        <v>0</v>
      </c>
      <c r="CX32" s="330">
        <v>0</v>
      </c>
      <c r="CY32" s="328">
        <v>0</v>
      </c>
      <c r="CZ32" s="322" t="s">
        <v>934</v>
      </c>
      <c r="DA32" s="323">
        <v>0</v>
      </c>
      <c r="DB32" s="323">
        <v>0</v>
      </c>
      <c r="DC32" s="323">
        <v>0</v>
      </c>
      <c r="DD32" s="323">
        <v>0</v>
      </c>
      <c r="DE32" s="323">
        <v>0</v>
      </c>
      <c r="DF32" s="323">
        <v>0</v>
      </c>
      <c r="DG32" s="323">
        <v>0</v>
      </c>
      <c r="DH32" s="323">
        <v>0</v>
      </c>
      <c r="DI32" s="323">
        <v>0</v>
      </c>
      <c r="DJ32" s="337">
        <v>0</v>
      </c>
      <c r="DK32" s="644">
        <v>46119.7</v>
      </c>
      <c r="DL32" s="614">
        <v>30387</v>
      </c>
      <c r="DM32" s="614">
        <v>20086</v>
      </c>
      <c r="DN32" s="614">
        <v>11228</v>
      </c>
      <c r="DO32" s="614">
        <v>4571</v>
      </c>
      <c r="DP32" s="614">
        <v>1840</v>
      </c>
      <c r="DQ32" s="614">
        <v>545</v>
      </c>
      <c r="DR32" s="614">
        <v>266</v>
      </c>
      <c r="DS32" s="615">
        <v>29</v>
      </c>
      <c r="DT32" s="607">
        <f t="shared" si="0"/>
        <v>68952</v>
      </c>
      <c r="DU32" s="342"/>
      <c r="EC32" s="646"/>
      <c r="EF32" s="126"/>
      <c r="EG32" s="124"/>
    </row>
    <row r="33" spans="1:137" ht="15">
      <c r="A33" s="22">
        <v>25</v>
      </c>
      <c r="B33" s="23" t="s">
        <v>181</v>
      </c>
      <c r="C33" s="24" t="s">
        <v>182</v>
      </c>
      <c r="D33" s="613"/>
      <c r="E33" s="629">
        <v>22438</v>
      </c>
      <c r="F33" s="629">
        <v>6350</v>
      </c>
      <c r="G33" s="629">
        <v>3860</v>
      </c>
      <c r="H33" s="629">
        <v>2405</v>
      </c>
      <c r="I33" s="629">
        <v>977</v>
      </c>
      <c r="J33" s="629">
        <v>127</v>
      </c>
      <c r="K33" s="629">
        <v>40</v>
      </c>
      <c r="L33" s="629">
        <v>16</v>
      </c>
      <c r="M33" s="627">
        <v>36213</v>
      </c>
      <c r="N33" s="322"/>
      <c r="O33" s="323">
        <v>542</v>
      </c>
      <c r="P33" s="323">
        <v>56</v>
      </c>
      <c r="Q33" s="323">
        <v>46</v>
      </c>
      <c r="R33" s="323">
        <v>15</v>
      </c>
      <c r="S33" s="323">
        <v>5</v>
      </c>
      <c r="T33" s="323">
        <v>0</v>
      </c>
      <c r="U33" s="323">
        <v>1</v>
      </c>
      <c r="V33" s="323">
        <v>0</v>
      </c>
      <c r="W33" s="323">
        <v>665</v>
      </c>
      <c r="X33" s="329" t="s">
        <v>934</v>
      </c>
      <c r="Y33" s="330">
        <v>0</v>
      </c>
      <c r="Z33" s="330">
        <v>0</v>
      </c>
      <c r="AA33" s="330">
        <v>0</v>
      </c>
      <c r="AB33" s="330">
        <v>0</v>
      </c>
      <c r="AC33" s="330">
        <v>0</v>
      </c>
      <c r="AD33" s="330">
        <v>0</v>
      </c>
      <c r="AE33" s="330">
        <v>0</v>
      </c>
      <c r="AF33" s="330">
        <v>0</v>
      </c>
      <c r="AG33" s="328">
        <v>0</v>
      </c>
      <c r="AH33" s="329" t="s">
        <v>934</v>
      </c>
      <c r="AI33" s="184">
        <v>67</v>
      </c>
      <c r="AJ33" s="184">
        <v>26</v>
      </c>
      <c r="AK33" s="184">
        <v>25</v>
      </c>
      <c r="AL33" s="184">
        <v>30</v>
      </c>
      <c r="AM33" s="184">
        <v>5</v>
      </c>
      <c r="AN33" s="184">
        <v>3</v>
      </c>
      <c r="AO33" s="184">
        <v>6</v>
      </c>
      <c r="AP33" s="184">
        <v>9</v>
      </c>
      <c r="AQ33" s="336">
        <v>171</v>
      </c>
      <c r="AR33" s="323">
        <v>14</v>
      </c>
      <c r="AS33" s="323">
        <v>10082</v>
      </c>
      <c r="AT33" s="323">
        <v>1486</v>
      </c>
      <c r="AU33" s="323">
        <v>733</v>
      </c>
      <c r="AV33" s="323">
        <v>319</v>
      </c>
      <c r="AW33" s="323">
        <v>106</v>
      </c>
      <c r="AX33" s="323">
        <v>14</v>
      </c>
      <c r="AY33" s="323">
        <v>3</v>
      </c>
      <c r="AZ33" s="323">
        <v>1</v>
      </c>
      <c r="BA33" s="323">
        <v>12758</v>
      </c>
      <c r="BB33" s="331">
        <v>3</v>
      </c>
      <c r="BC33" s="330">
        <v>183</v>
      </c>
      <c r="BD33" s="330">
        <v>51</v>
      </c>
      <c r="BE33" s="330">
        <v>34</v>
      </c>
      <c r="BF33" s="330">
        <v>18</v>
      </c>
      <c r="BG33" s="330">
        <v>4</v>
      </c>
      <c r="BH33" s="330">
        <v>0</v>
      </c>
      <c r="BI33" s="330">
        <v>0</v>
      </c>
      <c r="BJ33" s="330">
        <v>0</v>
      </c>
      <c r="BK33" s="328">
        <v>293</v>
      </c>
      <c r="BL33" s="323">
        <v>0</v>
      </c>
      <c r="BM33" s="323">
        <v>21</v>
      </c>
      <c r="BN33" s="323">
        <v>12</v>
      </c>
      <c r="BO33" s="323">
        <v>4</v>
      </c>
      <c r="BP33" s="323">
        <v>6</v>
      </c>
      <c r="BQ33" s="323">
        <v>3</v>
      </c>
      <c r="BR33" s="323">
        <v>7</v>
      </c>
      <c r="BS33" s="323">
        <v>11</v>
      </c>
      <c r="BT33" s="323">
        <v>5</v>
      </c>
      <c r="BU33" s="323">
        <v>69</v>
      </c>
      <c r="BV33" s="329" t="s">
        <v>934</v>
      </c>
      <c r="BW33" s="330">
        <v>85</v>
      </c>
      <c r="BX33" s="330">
        <v>13</v>
      </c>
      <c r="BY33" s="330">
        <v>10</v>
      </c>
      <c r="BZ33" s="330">
        <v>6</v>
      </c>
      <c r="CA33" s="330">
        <v>0</v>
      </c>
      <c r="CB33" s="330">
        <v>0</v>
      </c>
      <c r="CC33" s="330">
        <v>0</v>
      </c>
      <c r="CD33" s="330">
        <v>0</v>
      </c>
      <c r="CE33" s="328">
        <v>114</v>
      </c>
      <c r="CF33" s="322" t="s">
        <v>934</v>
      </c>
      <c r="CG33" s="323">
        <v>2</v>
      </c>
      <c r="CH33" s="323">
        <v>1</v>
      </c>
      <c r="CI33" s="323">
        <v>0</v>
      </c>
      <c r="CJ33" s="323">
        <v>1</v>
      </c>
      <c r="CK33" s="323">
        <v>2</v>
      </c>
      <c r="CL33" s="323">
        <v>0</v>
      </c>
      <c r="CM33" s="323">
        <v>0</v>
      </c>
      <c r="CN33" s="323">
        <v>0</v>
      </c>
      <c r="CO33" s="323">
        <v>6</v>
      </c>
      <c r="CP33" s="329" t="s">
        <v>934</v>
      </c>
      <c r="CQ33" s="330">
        <v>304</v>
      </c>
      <c r="CR33" s="330">
        <v>48</v>
      </c>
      <c r="CS33" s="330">
        <v>13</v>
      </c>
      <c r="CT33" s="330">
        <v>15</v>
      </c>
      <c r="CU33" s="330">
        <v>6</v>
      </c>
      <c r="CV33" s="330">
        <v>2</v>
      </c>
      <c r="CW33" s="330">
        <v>1</v>
      </c>
      <c r="CX33" s="330">
        <v>0</v>
      </c>
      <c r="CY33" s="328">
        <v>389</v>
      </c>
      <c r="CZ33" s="322" t="s">
        <v>934</v>
      </c>
      <c r="DA33" s="323">
        <v>0</v>
      </c>
      <c r="DB33" s="323">
        <v>0</v>
      </c>
      <c r="DC33" s="323">
        <v>0</v>
      </c>
      <c r="DD33" s="323">
        <v>0</v>
      </c>
      <c r="DE33" s="323">
        <v>0</v>
      </c>
      <c r="DF33" s="323">
        <v>0</v>
      </c>
      <c r="DG33" s="323">
        <v>0</v>
      </c>
      <c r="DH33" s="323">
        <v>0</v>
      </c>
      <c r="DI33" s="323">
        <v>0</v>
      </c>
      <c r="DJ33" s="337">
        <v>0</v>
      </c>
      <c r="DK33" s="644">
        <v>24330.7</v>
      </c>
      <c r="DL33" s="616">
        <v>22479</v>
      </c>
      <c r="DM33" s="616">
        <v>6322</v>
      </c>
      <c r="DN33" s="616">
        <v>3955</v>
      </c>
      <c r="DO33" s="616">
        <v>2520</v>
      </c>
      <c r="DP33" s="616">
        <v>997</v>
      </c>
      <c r="DQ33" s="616">
        <v>143</v>
      </c>
      <c r="DR33" s="616">
        <v>40</v>
      </c>
      <c r="DS33" s="617">
        <v>15</v>
      </c>
      <c r="DT33" s="607">
        <f t="shared" si="0"/>
        <v>36471</v>
      </c>
      <c r="DU33" s="342"/>
      <c r="EC33" s="646"/>
      <c r="EF33" s="125"/>
      <c r="EG33" s="124"/>
    </row>
    <row r="34" spans="1:137" ht="15">
      <c r="A34" s="22">
        <v>26</v>
      </c>
      <c r="B34" s="23" t="s">
        <v>183</v>
      </c>
      <c r="C34" s="24" t="s">
        <v>184</v>
      </c>
      <c r="D34" s="613"/>
      <c r="E34" s="629">
        <v>21185</v>
      </c>
      <c r="F34" s="629">
        <v>5047</v>
      </c>
      <c r="G34" s="629">
        <v>3648</v>
      </c>
      <c r="H34" s="629">
        <v>2100</v>
      </c>
      <c r="I34" s="629">
        <v>823</v>
      </c>
      <c r="J34" s="629">
        <v>438</v>
      </c>
      <c r="K34" s="629">
        <v>113</v>
      </c>
      <c r="L34" s="629">
        <v>18</v>
      </c>
      <c r="M34" s="627">
        <v>33372</v>
      </c>
      <c r="N34" s="322"/>
      <c r="O34" s="323">
        <v>562</v>
      </c>
      <c r="P34" s="323">
        <v>95</v>
      </c>
      <c r="Q34" s="323">
        <v>53</v>
      </c>
      <c r="R34" s="323">
        <v>26</v>
      </c>
      <c r="S34" s="323">
        <v>10</v>
      </c>
      <c r="T34" s="323">
        <v>8</v>
      </c>
      <c r="U34" s="323">
        <v>5</v>
      </c>
      <c r="V34" s="323">
        <v>1</v>
      </c>
      <c r="W34" s="323">
        <v>760</v>
      </c>
      <c r="X34" s="329" t="s">
        <v>934</v>
      </c>
      <c r="Y34" s="330">
        <v>0</v>
      </c>
      <c r="Z34" s="330">
        <v>0</v>
      </c>
      <c r="AA34" s="330">
        <v>0</v>
      </c>
      <c r="AB34" s="330">
        <v>0</v>
      </c>
      <c r="AC34" s="330">
        <v>0</v>
      </c>
      <c r="AD34" s="330">
        <v>0</v>
      </c>
      <c r="AE34" s="330">
        <v>0</v>
      </c>
      <c r="AF34" s="330">
        <v>0</v>
      </c>
      <c r="AG34" s="328">
        <v>0</v>
      </c>
      <c r="AH34" s="329" t="s">
        <v>934</v>
      </c>
      <c r="AI34" s="184">
        <v>35</v>
      </c>
      <c r="AJ34" s="184">
        <v>20</v>
      </c>
      <c r="AK34" s="184">
        <v>31</v>
      </c>
      <c r="AL34" s="184">
        <v>15</v>
      </c>
      <c r="AM34" s="184">
        <v>9</v>
      </c>
      <c r="AN34" s="184">
        <v>5</v>
      </c>
      <c r="AO34" s="184">
        <v>9</v>
      </c>
      <c r="AP34" s="184">
        <v>12</v>
      </c>
      <c r="AQ34" s="336">
        <v>136</v>
      </c>
      <c r="AR34" s="323">
        <v>10</v>
      </c>
      <c r="AS34" s="323">
        <v>8175</v>
      </c>
      <c r="AT34" s="323">
        <v>1307</v>
      </c>
      <c r="AU34" s="323">
        <v>766</v>
      </c>
      <c r="AV34" s="323">
        <v>347</v>
      </c>
      <c r="AW34" s="323">
        <v>96</v>
      </c>
      <c r="AX34" s="323">
        <v>37</v>
      </c>
      <c r="AY34" s="323">
        <v>6</v>
      </c>
      <c r="AZ34" s="323">
        <v>0</v>
      </c>
      <c r="BA34" s="323">
        <v>10744</v>
      </c>
      <c r="BB34" s="331">
        <v>1</v>
      </c>
      <c r="BC34" s="330">
        <v>117</v>
      </c>
      <c r="BD34" s="330">
        <v>31</v>
      </c>
      <c r="BE34" s="330">
        <v>28</v>
      </c>
      <c r="BF34" s="330">
        <v>14</v>
      </c>
      <c r="BG34" s="330">
        <v>4</v>
      </c>
      <c r="BH34" s="330">
        <v>2</v>
      </c>
      <c r="BI34" s="330">
        <v>1</v>
      </c>
      <c r="BJ34" s="330">
        <v>0</v>
      </c>
      <c r="BK34" s="328">
        <v>198</v>
      </c>
      <c r="BL34" s="323">
        <v>1</v>
      </c>
      <c r="BM34" s="323">
        <v>21</v>
      </c>
      <c r="BN34" s="323">
        <v>5</v>
      </c>
      <c r="BO34" s="323">
        <v>2</v>
      </c>
      <c r="BP34" s="323">
        <v>2</v>
      </c>
      <c r="BQ34" s="323">
        <v>4</v>
      </c>
      <c r="BR34" s="323">
        <v>8</v>
      </c>
      <c r="BS34" s="323">
        <v>13</v>
      </c>
      <c r="BT34" s="323">
        <v>0</v>
      </c>
      <c r="BU34" s="323">
        <v>56</v>
      </c>
      <c r="BV34" s="329" t="s">
        <v>934</v>
      </c>
      <c r="BW34" s="330">
        <v>16</v>
      </c>
      <c r="BX34" s="330">
        <v>4</v>
      </c>
      <c r="BY34" s="330">
        <v>3</v>
      </c>
      <c r="BZ34" s="330">
        <v>1</v>
      </c>
      <c r="CA34" s="330">
        <v>1</v>
      </c>
      <c r="CB34" s="330">
        <v>0</v>
      </c>
      <c r="CC34" s="330">
        <v>0</v>
      </c>
      <c r="CD34" s="330">
        <v>0</v>
      </c>
      <c r="CE34" s="328">
        <v>25</v>
      </c>
      <c r="CF34" s="322" t="s">
        <v>934</v>
      </c>
      <c r="CG34" s="323">
        <v>573</v>
      </c>
      <c r="CH34" s="323">
        <v>76</v>
      </c>
      <c r="CI34" s="323">
        <v>55</v>
      </c>
      <c r="CJ34" s="323">
        <v>40</v>
      </c>
      <c r="CK34" s="323">
        <v>14</v>
      </c>
      <c r="CL34" s="323">
        <v>10</v>
      </c>
      <c r="CM34" s="323">
        <v>2</v>
      </c>
      <c r="CN34" s="323">
        <v>0</v>
      </c>
      <c r="CO34" s="323">
        <v>770</v>
      </c>
      <c r="CP34" s="329" t="s">
        <v>934</v>
      </c>
      <c r="CQ34" s="330">
        <v>0</v>
      </c>
      <c r="CR34" s="330">
        <v>0</v>
      </c>
      <c r="CS34" s="330">
        <v>0</v>
      </c>
      <c r="CT34" s="330">
        <v>0</v>
      </c>
      <c r="CU34" s="330">
        <v>0</v>
      </c>
      <c r="CV34" s="330">
        <v>0</v>
      </c>
      <c r="CW34" s="330">
        <v>0</v>
      </c>
      <c r="CX34" s="330">
        <v>0</v>
      </c>
      <c r="CY34" s="328">
        <v>0</v>
      </c>
      <c r="CZ34" s="322" t="s">
        <v>934</v>
      </c>
      <c r="DA34" s="323">
        <v>0</v>
      </c>
      <c r="DB34" s="323">
        <v>0</v>
      </c>
      <c r="DC34" s="323">
        <v>0</v>
      </c>
      <c r="DD34" s="323">
        <v>0</v>
      </c>
      <c r="DE34" s="323">
        <v>0</v>
      </c>
      <c r="DF34" s="323">
        <v>0</v>
      </c>
      <c r="DG34" s="323">
        <v>0</v>
      </c>
      <c r="DH34" s="323">
        <v>0</v>
      </c>
      <c r="DI34" s="323">
        <v>0</v>
      </c>
      <c r="DJ34" s="337">
        <v>0</v>
      </c>
      <c r="DK34" s="644">
        <v>22398.3</v>
      </c>
      <c r="DL34" s="616">
        <v>21269</v>
      </c>
      <c r="DM34" s="616">
        <v>5122</v>
      </c>
      <c r="DN34" s="616">
        <v>3679</v>
      </c>
      <c r="DO34" s="616">
        <v>2115</v>
      </c>
      <c r="DP34" s="616">
        <v>839</v>
      </c>
      <c r="DQ34" s="616">
        <v>440</v>
      </c>
      <c r="DR34" s="616">
        <v>112</v>
      </c>
      <c r="DS34" s="617">
        <v>18</v>
      </c>
      <c r="DT34" s="607">
        <f t="shared" si="0"/>
        <v>33594</v>
      </c>
      <c r="DU34" s="342"/>
      <c r="EC34" s="646"/>
      <c r="EF34" s="125"/>
      <c r="EG34" s="124"/>
    </row>
    <row r="35" spans="1:137" ht="15">
      <c r="A35" s="22">
        <v>27</v>
      </c>
      <c r="B35" s="23" t="s">
        <v>185</v>
      </c>
      <c r="C35" s="24" t="s">
        <v>186</v>
      </c>
      <c r="D35" s="613"/>
      <c r="E35" s="626">
        <v>61948</v>
      </c>
      <c r="F35" s="626">
        <v>19131</v>
      </c>
      <c r="G35" s="626">
        <v>17480</v>
      </c>
      <c r="H35" s="626">
        <v>9857</v>
      </c>
      <c r="I35" s="626">
        <v>5034</v>
      </c>
      <c r="J35" s="626">
        <v>2021</v>
      </c>
      <c r="K35" s="626">
        <v>1748</v>
      </c>
      <c r="L35" s="626">
        <v>227</v>
      </c>
      <c r="M35" s="627">
        <v>117446</v>
      </c>
      <c r="N35" s="322"/>
      <c r="O35" s="323">
        <v>2326</v>
      </c>
      <c r="P35" s="323">
        <v>552</v>
      </c>
      <c r="Q35" s="323">
        <v>364</v>
      </c>
      <c r="R35" s="323">
        <v>179</v>
      </c>
      <c r="S35" s="323">
        <v>74</v>
      </c>
      <c r="T35" s="323">
        <v>35</v>
      </c>
      <c r="U35" s="323">
        <v>29</v>
      </c>
      <c r="V35" s="323">
        <v>3</v>
      </c>
      <c r="W35" s="323">
        <v>3562</v>
      </c>
      <c r="X35" s="329" t="s">
        <v>934</v>
      </c>
      <c r="Y35" s="330">
        <v>0</v>
      </c>
      <c r="Z35" s="330">
        <v>0</v>
      </c>
      <c r="AA35" s="330">
        <v>0</v>
      </c>
      <c r="AB35" s="330">
        <v>0</v>
      </c>
      <c r="AC35" s="330">
        <v>0</v>
      </c>
      <c r="AD35" s="330">
        <v>0</v>
      </c>
      <c r="AE35" s="330">
        <v>0</v>
      </c>
      <c r="AF35" s="330">
        <v>0</v>
      </c>
      <c r="AG35" s="328">
        <v>0</v>
      </c>
      <c r="AH35" s="329" t="s">
        <v>934</v>
      </c>
      <c r="AI35" s="184">
        <v>127</v>
      </c>
      <c r="AJ35" s="184">
        <v>76</v>
      </c>
      <c r="AK35" s="184">
        <v>116</v>
      </c>
      <c r="AL35" s="184">
        <v>60</v>
      </c>
      <c r="AM35" s="184">
        <v>42</v>
      </c>
      <c r="AN35" s="184">
        <v>25</v>
      </c>
      <c r="AO35" s="184">
        <v>31</v>
      </c>
      <c r="AP35" s="184">
        <v>23</v>
      </c>
      <c r="AQ35" s="336">
        <v>500</v>
      </c>
      <c r="AR35" s="323">
        <v>28</v>
      </c>
      <c r="AS35" s="323">
        <v>28657</v>
      </c>
      <c r="AT35" s="323">
        <v>5922</v>
      </c>
      <c r="AU35" s="323">
        <v>4331</v>
      </c>
      <c r="AV35" s="323">
        <v>1900</v>
      </c>
      <c r="AW35" s="323">
        <v>717</v>
      </c>
      <c r="AX35" s="323">
        <v>257</v>
      </c>
      <c r="AY35" s="323">
        <v>186</v>
      </c>
      <c r="AZ35" s="323">
        <v>23</v>
      </c>
      <c r="BA35" s="323">
        <v>42021</v>
      </c>
      <c r="BB35" s="331">
        <v>5</v>
      </c>
      <c r="BC35" s="330">
        <v>429</v>
      </c>
      <c r="BD35" s="330">
        <v>152</v>
      </c>
      <c r="BE35" s="330">
        <v>138</v>
      </c>
      <c r="BF35" s="330">
        <v>64</v>
      </c>
      <c r="BG35" s="330">
        <v>33</v>
      </c>
      <c r="BH35" s="330">
        <v>20</v>
      </c>
      <c r="BI35" s="330">
        <v>9</v>
      </c>
      <c r="BJ35" s="330">
        <v>2</v>
      </c>
      <c r="BK35" s="328">
        <v>852</v>
      </c>
      <c r="BL35" s="323">
        <v>2</v>
      </c>
      <c r="BM35" s="323">
        <v>26</v>
      </c>
      <c r="BN35" s="323">
        <v>13</v>
      </c>
      <c r="BO35" s="323">
        <v>17</v>
      </c>
      <c r="BP35" s="323">
        <v>15</v>
      </c>
      <c r="BQ35" s="323">
        <v>18</v>
      </c>
      <c r="BR35" s="323">
        <v>19</v>
      </c>
      <c r="BS35" s="323">
        <v>26</v>
      </c>
      <c r="BT35" s="323">
        <v>3</v>
      </c>
      <c r="BU35" s="323">
        <v>139</v>
      </c>
      <c r="BV35" s="329" t="s">
        <v>934</v>
      </c>
      <c r="BW35" s="330">
        <v>0</v>
      </c>
      <c r="BX35" s="330">
        <v>0</v>
      </c>
      <c r="BY35" s="330">
        <v>0</v>
      </c>
      <c r="BZ35" s="330">
        <v>0</v>
      </c>
      <c r="CA35" s="330">
        <v>0</v>
      </c>
      <c r="CB35" s="330">
        <v>0</v>
      </c>
      <c r="CC35" s="330">
        <v>0</v>
      </c>
      <c r="CD35" s="330">
        <v>0</v>
      </c>
      <c r="CE35" s="328">
        <v>0</v>
      </c>
      <c r="CF35" s="322" t="s">
        <v>934</v>
      </c>
      <c r="CG35" s="323">
        <v>1945</v>
      </c>
      <c r="CH35" s="323">
        <v>412</v>
      </c>
      <c r="CI35" s="323">
        <v>314</v>
      </c>
      <c r="CJ35" s="323">
        <v>146</v>
      </c>
      <c r="CK35" s="323">
        <v>94</v>
      </c>
      <c r="CL35" s="323">
        <v>33</v>
      </c>
      <c r="CM35" s="323">
        <v>52</v>
      </c>
      <c r="CN35" s="323">
        <v>7</v>
      </c>
      <c r="CO35" s="323">
        <v>3003</v>
      </c>
      <c r="CP35" s="329" t="s">
        <v>934</v>
      </c>
      <c r="CQ35" s="330">
        <v>0</v>
      </c>
      <c r="CR35" s="330">
        <v>0</v>
      </c>
      <c r="CS35" s="330">
        <v>0</v>
      </c>
      <c r="CT35" s="330">
        <v>0</v>
      </c>
      <c r="CU35" s="330">
        <v>0</v>
      </c>
      <c r="CV35" s="330">
        <v>0</v>
      </c>
      <c r="CW35" s="330">
        <v>0</v>
      </c>
      <c r="CX35" s="330">
        <v>0</v>
      </c>
      <c r="CY35" s="328">
        <v>0</v>
      </c>
      <c r="CZ35" s="322" t="s">
        <v>934</v>
      </c>
      <c r="DA35" s="323">
        <v>0</v>
      </c>
      <c r="DB35" s="323">
        <v>0</v>
      </c>
      <c r="DC35" s="323">
        <v>0</v>
      </c>
      <c r="DD35" s="323">
        <v>0</v>
      </c>
      <c r="DE35" s="323">
        <v>0</v>
      </c>
      <c r="DF35" s="323">
        <v>0</v>
      </c>
      <c r="DG35" s="323">
        <v>0</v>
      </c>
      <c r="DH35" s="323">
        <v>0</v>
      </c>
      <c r="DI35" s="323">
        <v>0</v>
      </c>
      <c r="DJ35" s="337">
        <v>0</v>
      </c>
      <c r="DK35" s="644">
        <v>82091</v>
      </c>
      <c r="DL35" s="614">
        <v>62099</v>
      </c>
      <c r="DM35" s="614">
        <v>19521</v>
      </c>
      <c r="DN35" s="614">
        <v>17606</v>
      </c>
      <c r="DO35" s="614">
        <v>9985</v>
      </c>
      <c r="DP35" s="614">
        <v>5082</v>
      </c>
      <c r="DQ35" s="614">
        <v>2065</v>
      </c>
      <c r="DR35" s="614">
        <v>1737</v>
      </c>
      <c r="DS35" s="615">
        <v>226</v>
      </c>
      <c r="DT35" s="607">
        <f t="shared" si="0"/>
        <v>118321</v>
      </c>
      <c r="DU35" s="342"/>
      <c r="EC35" s="646"/>
      <c r="EF35" s="123"/>
      <c r="EG35" s="124"/>
    </row>
    <row r="36" spans="1:137" ht="15">
      <c r="A36" s="22">
        <v>28</v>
      </c>
      <c r="B36" s="23" t="s">
        <v>187</v>
      </c>
      <c r="C36" s="24" t="s">
        <v>188</v>
      </c>
      <c r="D36" s="613"/>
      <c r="E36" s="630">
        <v>13064</v>
      </c>
      <c r="F36" s="630">
        <v>5469</v>
      </c>
      <c r="G36" s="630">
        <v>5693</v>
      </c>
      <c r="H36" s="630">
        <v>1758</v>
      </c>
      <c r="I36" s="630">
        <v>694</v>
      </c>
      <c r="J36" s="630">
        <v>199</v>
      </c>
      <c r="K36" s="630">
        <v>76</v>
      </c>
      <c r="L36" s="630">
        <v>13</v>
      </c>
      <c r="M36" s="627">
        <v>26966</v>
      </c>
      <c r="N36" s="322"/>
      <c r="O36" s="323">
        <v>385</v>
      </c>
      <c r="P36" s="323">
        <v>129</v>
      </c>
      <c r="Q36" s="323">
        <v>94</v>
      </c>
      <c r="R36" s="323">
        <v>24</v>
      </c>
      <c r="S36" s="323">
        <v>10</v>
      </c>
      <c r="T36" s="323">
        <v>3</v>
      </c>
      <c r="U36" s="323">
        <v>0</v>
      </c>
      <c r="V36" s="323">
        <v>0</v>
      </c>
      <c r="W36" s="323">
        <v>645</v>
      </c>
      <c r="X36" s="329" t="s">
        <v>934</v>
      </c>
      <c r="Y36" s="330">
        <v>13</v>
      </c>
      <c r="Z36" s="330">
        <v>12</v>
      </c>
      <c r="AA36" s="330">
        <v>1</v>
      </c>
      <c r="AB36" s="330">
        <v>1</v>
      </c>
      <c r="AC36" s="330">
        <v>0</v>
      </c>
      <c r="AD36" s="330">
        <v>0</v>
      </c>
      <c r="AE36" s="330">
        <v>0</v>
      </c>
      <c r="AF36" s="330">
        <v>0</v>
      </c>
      <c r="AG36" s="328">
        <v>27</v>
      </c>
      <c r="AH36" s="329" t="s">
        <v>934</v>
      </c>
      <c r="AI36" s="184">
        <v>17</v>
      </c>
      <c r="AJ36" s="184">
        <v>25</v>
      </c>
      <c r="AK36" s="184">
        <v>56</v>
      </c>
      <c r="AL36" s="184">
        <v>12</v>
      </c>
      <c r="AM36" s="184">
        <v>5</v>
      </c>
      <c r="AN36" s="184">
        <v>4</v>
      </c>
      <c r="AO36" s="184">
        <v>6</v>
      </c>
      <c r="AP36" s="184">
        <v>5</v>
      </c>
      <c r="AQ36" s="336">
        <v>130</v>
      </c>
      <c r="AR36" s="323">
        <v>2</v>
      </c>
      <c r="AS36" s="323">
        <v>5325</v>
      </c>
      <c r="AT36" s="323">
        <v>1415</v>
      </c>
      <c r="AU36" s="323">
        <v>1190</v>
      </c>
      <c r="AV36" s="323">
        <v>249</v>
      </c>
      <c r="AW36" s="323">
        <v>101</v>
      </c>
      <c r="AX36" s="323">
        <v>23</v>
      </c>
      <c r="AY36" s="323">
        <v>12</v>
      </c>
      <c r="AZ36" s="323">
        <v>2</v>
      </c>
      <c r="BA36" s="323">
        <v>8319</v>
      </c>
      <c r="BB36" s="331">
        <v>2</v>
      </c>
      <c r="BC36" s="330">
        <v>50</v>
      </c>
      <c r="BD36" s="330">
        <v>27</v>
      </c>
      <c r="BE36" s="330">
        <v>31</v>
      </c>
      <c r="BF36" s="330">
        <v>9</v>
      </c>
      <c r="BG36" s="330">
        <v>2</v>
      </c>
      <c r="BH36" s="330">
        <v>3</v>
      </c>
      <c r="BI36" s="330">
        <v>1</v>
      </c>
      <c r="BJ36" s="330">
        <v>0</v>
      </c>
      <c r="BK36" s="328">
        <v>125</v>
      </c>
      <c r="BL36" s="323">
        <v>0</v>
      </c>
      <c r="BM36" s="323">
        <v>3</v>
      </c>
      <c r="BN36" s="323">
        <v>1</v>
      </c>
      <c r="BO36" s="323">
        <v>2</v>
      </c>
      <c r="BP36" s="323">
        <v>1</v>
      </c>
      <c r="BQ36" s="323">
        <v>1</v>
      </c>
      <c r="BR36" s="323">
        <v>5</v>
      </c>
      <c r="BS36" s="323">
        <v>8</v>
      </c>
      <c r="BT36" s="323">
        <v>5</v>
      </c>
      <c r="BU36" s="323">
        <v>26</v>
      </c>
      <c r="BV36" s="329" t="s">
        <v>934</v>
      </c>
      <c r="BW36" s="330">
        <v>213</v>
      </c>
      <c r="BX36" s="330">
        <v>63</v>
      </c>
      <c r="BY36" s="330">
        <v>49</v>
      </c>
      <c r="BZ36" s="330">
        <v>20</v>
      </c>
      <c r="CA36" s="330">
        <v>16</v>
      </c>
      <c r="CB36" s="330">
        <v>2</v>
      </c>
      <c r="CC36" s="330">
        <v>2</v>
      </c>
      <c r="CD36" s="330">
        <v>0</v>
      </c>
      <c r="CE36" s="328">
        <v>365</v>
      </c>
      <c r="CF36" s="322" t="s">
        <v>934</v>
      </c>
      <c r="CG36" s="323">
        <v>19</v>
      </c>
      <c r="CH36" s="323">
        <v>9</v>
      </c>
      <c r="CI36" s="323">
        <v>5</v>
      </c>
      <c r="CJ36" s="323">
        <v>1</v>
      </c>
      <c r="CK36" s="323">
        <v>0</v>
      </c>
      <c r="CL36" s="323">
        <v>0</v>
      </c>
      <c r="CM36" s="323">
        <v>0</v>
      </c>
      <c r="CN36" s="323">
        <v>0</v>
      </c>
      <c r="CO36" s="323">
        <v>34</v>
      </c>
      <c r="CP36" s="329" t="s">
        <v>934</v>
      </c>
      <c r="CQ36" s="330">
        <v>0</v>
      </c>
      <c r="CR36" s="330">
        <v>0</v>
      </c>
      <c r="CS36" s="330">
        <v>0</v>
      </c>
      <c r="CT36" s="330">
        <v>0</v>
      </c>
      <c r="CU36" s="330">
        <v>0</v>
      </c>
      <c r="CV36" s="330">
        <v>0</v>
      </c>
      <c r="CW36" s="330">
        <v>0</v>
      </c>
      <c r="CX36" s="330">
        <v>0</v>
      </c>
      <c r="CY36" s="328">
        <v>0</v>
      </c>
      <c r="CZ36" s="322" t="s">
        <v>934</v>
      </c>
      <c r="DA36" s="323">
        <v>0</v>
      </c>
      <c r="DB36" s="323">
        <v>0</v>
      </c>
      <c r="DC36" s="323">
        <v>0</v>
      </c>
      <c r="DD36" s="323">
        <v>0</v>
      </c>
      <c r="DE36" s="323">
        <v>0</v>
      </c>
      <c r="DF36" s="323">
        <v>0</v>
      </c>
      <c r="DG36" s="323">
        <v>0</v>
      </c>
      <c r="DH36" s="323">
        <v>0</v>
      </c>
      <c r="DI36" s="323">
        <v>0</v>
      </c>
      <c r="DJ36" s="337">
        <v>0</v>
      </c>
      <c r="DK36" s="644">
        <v>18820.4</v>
      </c>
      <c r="DL36" s="614">
        <v>13285</v>
      </c>
      <c r="DM36" s="614">
        <v>5556</v>
      </c>
      <c r="DN36" s="614">
        <v>5731</v>
      </c>
      <c r="DO36" s="614">
        <v>1805</v>
      </c>
      <c r="DP36" s="614">
        <v>708</v>
      </c>
      <c r="DQ36" s="614">
        <v>198</v>
      </c>
      <c r="DR36" s="614">
        <v>78</v>
      </c>
      <c r="DS36" s="615">
        <v>13</v>
      </c>
      <c r="DT36" s="607">
        <f t="shared" si="0"/>
        <v>27374</v>
      </c>
      <c r="DU36" s="342"/>
      <c r="EC36" s="646"/>
      <c r="EF36" s="127"/>
      <c r="EG36" s="124"/>
    </row>
    <row r="37" spans="1:137" ht="15">
      <c r="A37" s="22">
        <v>29</v>
      </c>
      <c r="B37" s="23" t="s">
        <v>189</v>
      </c>
      <c r="C37" s="24" t="s">
        <v>190</v>
      </c>
      <c r="D37" s="613"/>
      <c r="E37" s="628">
        <v>14359</v>
      </c>
      <c r="F37" s="628">
        <v>16602</v>
      </c>
      <c r="G37" s="628">
        <v>22575</v>
      </c>
      <c r="H37" s="628">
        <v>15164</v>
      </c>
      <c r="I37" s="628">
        <v>7661</v>
      </c>
      <c r="J37" s="628">
        <v>3406</v>
      </c>
      <c r="K37" s="628">
        <v>1504</v>
      </c>
      <c r="L37" s="628">
        <v>124</v>
      </c>
      <c r="M37" s="627">
        <v>81395</v>
      </c>
      <c r="N37" s="322"/>
      <c r="O37" s="323">
        <v>985</v>
      </c>
      <c r="P37" s="323">
        <v>1024</v>
      </c>
      <c r="Q37" s="323">
        <v>1139</v>
      </c>
      <c r="R37" s="323">
        <v>789</v>
      </c>
      <c r="S37" s="323">
        <v>200</v>
      </c>
      <c r="T37" s="323">
        <v>81</v>
      </c>
      <c r="U37" s="323">
        <v>39</v>
      </c>
      <c r="V37" s="323">
        <v>7</v>
      </c>
      <c r="W37" s="323">
        <v>4264</v>
      </c>
      <c r="X37" s="329" t="s">
        <v>934</v>
      </c>
      <c r="Y37" s="330">
        <v>0</v>
      </c>
      <c r="Z37" s="330">
        <v>0</v>
      </c>
      <c r="AA37" s="330">
        <v>0</v>
      </c>
      <c r="AB37" s="330">
        <v>0</v>
      </c>
      <c r="AC37" s="330">
        <v>0</v>
      </c>
      <c r="AD37" s="330">
        <v>0</v>
      </c>
      <c r="AE37" s="330">
        <v>0</v>
      </c>
      <c r="AF37" s="330">
        <v>0</v>
      </c>
      <c r="AG37" s="328">
        <v>0</v>
      </c>
      <c r="AH37" s="329" t="s">
        <v>934</v>
      </c>
      <c r="AI37" s="184">
        <v>10</v>
      </c>
      <c r="AJ37" s="184">
        <v>28</v>
      </c>
      <c r="AK37" s="184">
        <v>73</v>
      </c>
      <c r="AL37" s="184">
        <v>65</v>
      </c>
      <c r="AM37" s="184">
        <v>42</v>
      </c>
      <c r="AN37" s="184">
        <v>30</v>
      </c>
      <c r="AO37" s="184">
        <v>36</v>
      </c>
      <c r="AP37" s="184">
        <v>19</v>
      </c>
      <c r="AQ37" s="336">
        <v>303</v>
      </c>
      <c r="AR37" s="323">
        <v>3</v>
      </c>
      <c r="AS37" s="323">
        <v>8551</v>
      </c>
      <c r="AT37" s="323">
        <v>7478</v>
      </c>
      <c r="AU37" s="323">
        <v>7755</v>
      </c>
      <c r="AV37" s="323">
        <v>4327</v>
      </c>
      <c r="AW37" s="323">
        <v>1789</v>
      </c>
      <c r="AX37" s="323">
        <v>650</v>
      </c>
      <c r="AY37" s="323">
        <v>240</v>
      </c>
      <c r="AZ37" s="323">
        <v>9</v>
      </c>
      <c r="BA37" s="323">
        <v>30802</v>
      </c>
      <c r="BB37" s="331">
        <v>0</v>
      </c>
      <c r="BC37" s="330">
        <v>79</v>
      </c>
      <c r="BD37" s="330">
        <v>158</v>
      </c>
      <c r="BE37" s="330">
        <v>168</v>
      </c>
      <c r="BF37" s="330">
        <v>111</v>
      </c>
      <c r="BG37" s="330">
        <v>46</v>
      </c>
      <c r="BH37" s="330">
        <v>6</v>
      </c>
      <c r="BI37" s="330">
        <v>11</v>
      </c>
      <c r="BJ37" s="330">
        <v>17</v>
      </c>
      <c r="BK37" s="328">
        <v>596</v>
      </c>
      <c r="BL37" s="323">
        <v>0</v>
      </c>
      <c r="BM37" s="323">
        <v>6</v>
      </c>
      <c r="BN37" s="323">
        <v>8</v>
      </c>
      <c r="BO37" s="323">
        <v>24</v>
      </c>
      <c r="BP37" s="323">
        <v>20</v>
      </c>
      <c r="BQ37" s="323">
        <v>21</v>
      </c>
      <c r="BR37" s="323">
        <v>46</v>
      </c>
      <c r="BS37" s="323">
        <v>38</v>
      </c>
      <c r="BT37" s="323">
        <v>19</v>
      </c>
      <c r="BU37" s="323">
        <v>182</v>
      </c>
      <c r="BV37" s="329" t="s">
        <v>934</v>
      </c>
      <c r="BW37" s="330">
        <v>714</v>
      </c>
      <c r="BX37" s="330">
        <v>567</v>
      </c>
      <c r="BY37" s="330">
        <v>782</v>
      </c>
      <c r="BZ37" s="330">
        <v>597</v>
      </c>
      <c r="CA37" s="330">
        <v>410</v>
      </c>
      <c r="CB37" s="330">
        <v>215</v>
      </c>
      <c r="CC37" s="330">
        <v>74</v>
      </c>
      <c r="CD37" s="330">
        <v>17</v>
      </c>
      <c r="CE37" s="328">
        <v>3376</v>
      </c>
      <c r="CF37" s="322" t="s">
        <v>934</v>
      </c>
      <c r="CG37" s="323">
        <v>0</v>
      </c>
      <c r="CH37" s="323">
        <v>0</v>
      </c>
      <c r="CI37" s="323">
        <v>0</v>
      </c>
      <c r="CJ37" s="323">
        <v>0</v>
      </c>
      <c r="CK37" s="323">
        <v>0</v>
      </c>
      <c r="CL37" s="323">
        <v>0</v>
      </c>
      <c r="CM37" s="323">
        <v>0</v>
      </c>
      <c r="CN37" s="323">
        <v>0</v>
      </c>
      <c r="CO37" s="323">
        <v>0</v>
      </c>
      <c r="CP37" s="329" t="s">
        <v>934</v>
      </c>
      <c r="CQ37" s="330">
        <v>293</v>
      </c>
      <c r="CR37" s="330">
        <v>235</v>
      </c>
      <c r="CS37" s="330">
        <v>222</v>
      </c>
      <c r="CT37" s="330">
        <v>124</v>
      </c>
      <c r="CU37" s="330">
        <v>80</v>
      </c>
      <c r="CV37" s="330">
        <v>35</v>
      </c>
      <c r="CW37" s="330">
        <v>32</v>
      </c>
      <c r="CX37" s="330">
        <v>2</v>
      </c>
      <c r="CY37" s="328">
        <v>1023</v>
      </c>
      <c r="CZ37" s="322" t="s">
        <v>934</v>
      </c>
      <c r="DA37" s="323">
        <v>0</v>
      </c>
      <c r="DB37" s="323">
        <v>0</v>
      </c>
      <c r="DC37" s="323">
        <v>0</v>
      </c>
      <c r="DD37" s="323">
        <v>0</v>
      </c>
      <c r="DE37" s="323">
        <v>0</v>
      </c>
      <c r="DF37" s="323">
        <v>0</v>
      </c>
      <c r="DG37" s="323">
        <v>0</v>
      </c>
      <c r="DH37" s="323">
        <v>0</v>
      </c>
      <c r="DI37" s="323">
        <v>0</v>
      </c>
      <c r="DJ37" s="337">
        <v>0</v>
      </c>
      <c r="DK37" s="644">
        <v>62588.6</v>
      </c>
      <c r="DL37" s="614">
        <v>14850</v>
      </c>
      <c r="DM37" s="614">
        <v>17127</v>
      </c>
      <c r="DN37" s="614">
        <v>22676</v>
      </c>
      <c r="DO37" s="614">
        <v>15302</v>
      </c>
      <c r="DP37" s="614">
        <v>7672</v>
      </c>
      <c r="DQ37" s="614">
        <v>3411</v>
      </c>
      <c r="DR37" s="614">
        <v>1495</v>
      </c>
      <c r="DS37" s="615">
        <v>124</v>
      </c>
      <c r="DT37" s="607">
        <f t="shared" si="0"/>
        <v>82657</v>
      </c>
      <c r="DU37" s="342"/>
      <c r="EC37" s="646"/>
      <c r="EF37" s="126"/>
      <c r="EG37" s="124"/>
    </row>
    <row r="38" spans="1:137" ht="15">
      <c r="A38" s="22">
        <v>30</v>
      </c>
      <c r="B38" s="23" t="s">
        <v>191</v>
      </c>
      <c r="C38" s="24" t="s">
        <v>192</v>
      </c>
      <c r="D38" s="613"/>
      <c r="E38" s="629">
        <v>1716</v>
      </c>
      <c r="F38" s="629">
        <v>3976</v>
      </c>
      <c r="G38" s="629">
        <v>17016</v>
      </c>
      <c r="H38" s="629">
        <v>8247</v>
      </c>
      <c r="I38" s="629">
        <v>7437</v>
      </c>
      <c r="J38" s="629">
        <v>4377</v>
      </c>
      <c r="K38" s="629">
        <v>2037</v>
      </c>
      <c r="L38" s="629">
        <v>245</v>
      </c>
      <c r="M38" s="627">
        <v>45051</v>
      </c>
      <c r="N38" s="322"/>
      <c r="O38" s="323">
        <v>177</v>
      </c>
      <c r="P38" s="323">
        <v>167</v>
      </c>
      <c r="Q38" s="323">
        <v>590</v>
      </c>
      <c r="R38" s="323">
        <v>123</v>
      </c>
      <c r="S38" s="323">
        <v>80</v>
      </c>
      <c r="T38" s="323">
        <v>46</v>
      </c>
      <c r="U38" s="323">
        <v>38</v>
      </c>
      <c r="V38" s="323">
        <v>24</v>
      </c>
      <c r="W38" s="323">
        <v>1245</v>
      </c>
      <c r="X38" s="329" t="s">
        <v>934</v>
      </c>
      <c r="Y38" s="330">
        <v>1</v>
      </c>
      <c r="Z38" s="330">
        <v>3</v>
      </c>
      <c r="AA38" s="330">
        <v>2</v>
      </c>
      <c r="AB38" s="330">
        <v>0</v>
      </c>
      <c r="AC38" s="330">
        <v>99</v>
      </c>
      <c r="AD38" s="330">
        <v>28</v>
      </c>
      <c r="AE38" s="330">
        <v>0</v>
      </c>
      <c r="AF38" s="330">
        <v>3</v>
      </c>
      <c r="AG38" s="328">
        <v>136</v>
      </c>
      <c r="AH38" s="329" t="s">
        <v>934</v>
      </c>
      <c r="AI38" s="184">
        <v>8</v>
      </c>
      <c r="AJ38" s="184">
        <v>13</v>
      </c>
      <c r="AK38" s="184">
        <v>62</v>
      </c>
      <c r="AL38" s="184">
        <v>42</v>
      </c>
      <c r="AM38" s="184">
        <v>48</v>
      </c>
      <c r="AN38" s="184">
        <v>18</v>
      </c>
      <c r="AO38" s="184">
        <v>11</v>
      </c>
      <c r="AP38" s="184">
        <v>7</v>
      </c>
      <c r="AQ38" s="336">
        <v>209</v>
      </c>
      <c r="AR38" s="323">
        <v>1</v>
      </c>
      <c r="AS38" s="323">
        <v>818</v>
      </c>
      <c r="AT38" s="323">
        <v>2478</v>
      </c>
      <c r="AU38" s="323">
        <v>5897</v>
      </c>
      <c r="AV38" s="323">
        <v>2311</v>
      </c>
      <c r="AW38" s="323">
        <v>1354</v>
      </c>
      <c r="AX38" s="323">
        <v>559</v>
      </c>
      <c r="AY38" s="323">
        <v>160</v>
      </c>
      <c r="AZ38" s="323">
        <v>23</v>
      </c>
      <c r="BA38" s="323">
        <v>13601</v>
      </c>
      <c r="BB38" s="331">
        <v>0</v>
      </c>
      <c r="BC38" s="330">
        <v>4</v>
      </c>
      <c r="BD38" s="330">
        <v>12</v>
      </c>
      <c r="BE38" s="330">
        <v>100</v>
      </c>
      <c r="BF38" s="330">
        <v>45</v>
      </c>
      <c r="BG38" s="330">
        <v>26</v>
      </c>
      <c r="BH38" s="330">
        <v>13</v>
      </c>
      <c r="BI38" s="330">
        <v>8</v>
      </c>
      <c r="BJ38" s="330">
        <v>0</v>
      </c>
      <c r="BK38" s="328">
        <v>208</v>
      </c>
      <c r="BL38" s="323">
        <v>0</v>
      </c>
      <c r="BM38" s="323">
        <v>0</v>
      </c>
      <c r="BN38" s="323">
        <v>2</v>
      </c>
      <c r="BO38" s="323">
        <v>4</v>
      </c>
      <c r="BP38" s="323">
        <v>3</v>
      </c>
      <c r="BQ38" s="323">
        <v>1</v>
      </c>
      <c r="BR38" s="323">
        <v>9</v>
      </c>
      <c r="BS38" s="323">
        <v>8</v>
      </c>
      <c r="BT38" s="323">
        <v>1</v>
      </c>
      <c r="BU38" s="323">
        <v>28</v>
      </c>
      <c r="BV38" s="329" t="s">
        <v>934</v>
      </c>
      <c r="BW38" s="330">
        <v>5</v>
      </c>
      <c r="BX38" s="330">
        <v>28</v>
      </c>
      <c r="BY38" s="330">
        <v>113</v>
      </c>
      <c r="BZ38" s="330">
        <v>46</v>
      </c>
      <c r="CA38" s="330">
        <v>51</v>
      </c>
      <c r="CB38" s="330">
        <v>26</v>
      </c>
      <c r="CC38" s="330">
        <v>14</v>
      </c>
      <c r="CD38" s="330">
        <v>14</v>
      </c>
      <c r="CE38" s="328">
        <v>297</v>
      </c>
      <c r="CF38" s="322" t="s">
        <v>934</v>
      </c>
      <c r="CG38" s="323">
        <v>51</v>
      </c>
      <c r="CH38" s="323">
        <v>40</v>
      </c>
      <c r="CI38" s="323">
        <v>96</v>
      </c>
      <c r="CJ38" s="323">
        <v>43</v>
      </c>
      <c r="CK38" s="323">
        <v>42</v>
      </c>
      <c r="CL38" s="323">
        <v>12</v>
      </c>
      <c r="CM38" s="323">
        <v>16</v>
      </c>
      <c r="CN38" s="323">
        <v>9</v>
      </c>
      <c r="CO38" s="323">
        <v>309</v>
      </c>
      <c r="CP38" s="329" t="s">
        <v>934</v>
      </c>
      <c r="CQ38" s="330">
        <v>0</v>
      </c>
      <c r="CR38" s="330">
        <v>0</v>
      </c>
      <c r="CS38" s="330">
        <v>0</v>
      </c>
      <c r="CT38" s="330">
        <v>0</v>
      </c>
      <c r="CU38" s="330">
        <v>0</v>
      </c>
      <c r="CV38" s="330">
        <v>0</v>
      </c>
      <c r="CW38" s="330">
        <v>0</v>
      </c>
      <c r="CX38" s="330">
        <v>0</v>
      </c>
      <c r="CY38" s="328">
        <v>0</v>
      </c>
      <c r="CZ38" s="322" t="s">
        <v>934</v>
      </c>
      <c r="DA38" s="323">
        <v>0</v>
      </c>
      <c r="DB38" s="323">
        <v>0</v>
      </c>
      <c r="DC38" s="323">
        <v>0</v>
      </c>
      <c r="DD38" s="323">
        <v>0</v>
      </c>
      <c r="DE38" s="323">
        <v>0</v>
      </c>
      <c r="DF38" s="323">
        <v>0</v>
      </c>
      <c r="DG38" s="323">
        <v>0</v>
      </c>
      <c r="DH38" s="323">
        <v>0</v>
      </c>
      <c r="DI38" s="323">
        <v>0</v>
      </c>
      <c r="DJ38" s="337">
        <v>248</v>
      </c>
      <c r="DK38" s="644">
        <v>42190.5</v>
      </c>
      <c r="DL38" s="616">
        <v>1732</v>
      </c>
      <c r="DM38" s="616">
        <v>4019</v>
      </c>
      <c r="DN38" s="616">
        <v>17106</v>
      </c>
      <c r="DO38" s="616">
        <v>8346</v>
      </c>
      <c r="DP38" s="616">
        <v>7401</v>
      </c>
      <c r="DQ38" s="616">
        <v>4371</v>
      </c>
      <c r="DR38" s="616">
        <v>2048</v>
      </c>
      <c r="DS38" s="617">
        <v>242</v>
      </c>
      <c r="DT38" s="607">
        <f t="shared" si="0"/>
        <v>45265</v>
      </c>
      <c r="DU38" s="342"/>
      <c r="EC38" s="646"/>
      <c r="EF38" s="125"/>
      <c r="EG38" s="124"/>
    </row>
    <row r="39" spans="1:137" ht="15">
      <c r="A39" s="22">
        <v>31</v>
      </c>
      <c r="B39" s="23" t="s">
        <v>193</v>
      </c>
      <c r="C39" s="24" t="s">
        <v>194</v>
      </c>
      <c r="D39" s="613"/>
      <c r="E39" s="626">
        <v>87796</v>
      </c>
      <c r="F39" s="626">
        <v>41089</v>
      </c>
      <c r="G39" s="626">
        <v>36705</v>
      </c>
      <c r="H39" s="626">
        <v>15801</v>
      </c>
      <c r="I39" s="626">
        <v>11083</v>
      </c>
      <c r="J39" s="626">
        <v>5299</v>
      </c>
      <c r="K39" s="626">
        <v>3491</v>
      </c>
      <c r="L39" s="626">
        <v>295</v>
      </c>
      <c r="M39" s="627">
        <v>201559</v>
      </c>
      <c r="N39" s="322"/>
      <c r="O39" s="323">
        <v>5103</v>
      </c>
      <c r="P39" s="323">
        <v>1512</v>
      </c>
      <c r="Q39" s="323">
        <v>1172</v>
      </c>
      <c r="R39" s="323">
        <v>453</v>
      </c>
      <c r="S39" s="323">
        <v>205</v>
      </c>
      <c r="T39" s="323">
        <v>108</v>
      </c>
      <c r="U39" s="323">
        <v>95</v>
      </c>
      <c r="V39" s="323">
        <v>13</v>
      </c>
      <c r="W39" s="323">
        <v>8661</v>
      </c>
      <c r="X39" s="329" t="s">
        <v>934</v>
      </c>
      <c r="Y39" s="330">
        <v>0</v>
      </c>
      <c r="Z39" s="330">
        <v>0</v>
      </c>
      <c r="AA39" s="330">
        <v>0</v>
      </c>
      <c r="AB39" s="330">
        <v>0</v>
      </c>
      <c r="AC39" s="330">
        <v>0</v>
      </c>
      <c r="AD39" s="330">
        <v>0</v>
      </c>
      <c r="AE39" s="330">
        <v>0</v>
      </c>
      <c r="AF39" s="330">
        <v>0</v>
      </c>
      <c r="AG39" s="328">
        <v>0</v>
      </c>
      <c r="AH39" s="329" t="s">
        <v>934</v>
      </c>
      <c r="AI39" s="184">
        <v>114</v>
      </c>
      <c r="AJ39" s="184">
        <v>135</v>
      </c>
      <c r="AK39" s="184">
        <v>219</v>
      </c>
      <c r="AL39" s="184">
        <v>106</v>
      </c>
      <c r="AM39" s="184">
        <v>93</v>
      </c>
      <c r="AN39" s="184">
        <v>60</v>
      </c>
      <c r="AO39" s="184">
        <v>52</v>
      </c>
      <c r="AP39" s="184">
        <v>41</v>
      </c>
      <c r="AQ39" s="336">
        <v>820</v>
      </c>
      <c r="AR39" s="323">
        <v>33</v>
      </c>
      <c r="AS39" s="323">
        <v>40440</v>
      </c>
      <c r="AT39" s="323">
        <v>13839</v>
      </c>
      <c r="AU39" s="323">
        <v>10008</v>
      </c>
      <c r="AV39" s="323">
        <v>3517</v>
      </c>
      <c r="AW39" s="323">
        <v>1830</v>
      </c>
      <c r="AX39" s="323">
        <v>727</v>
      </c>
      <c r="AY39" s="323">
        <v>413</v>
      </c>
      <c r="AZ39" s="323">
        <v>14</v>
      </c>
      <c r="BA39" s="323">
        <v>70821</v>
      </c>
      <c r="BB39" s="331">
        <v>0</v>
      </c>
      <c r="BC39" s="330">
        <v>470</v>
      </c>
      <c r="BD39" s="330">
        <v>289</v>
      </c>
      <c r="BE39" s="330">
        <v>235</v>
      </c>
      <c r="BF39" s="330">
        <v>107</v>
      </c>
      <c r="BG39" s="330">
        <v>50</v>
      </c>
      <c r="BH39" s="330">
        <v>23</v>
      </c>
      <c r="BI39" s="330">
        <v>23</v>
      </c>
      <c r="BJ39" s="330">
        <v>2</v>
      </c>
      <c r="BK39" s="328">
        <v>1199</v>
      </c>
      <c r="BL39" s="323">
        <v>0</v>
      </c>
      <c r="BM39" s="323">
        <v>91</v>
      </c>
      <c r="BN39" s="323">
        <v>43</v>
      </c>
      <c r="BO39" s="323">
        <v>57</v>
      </c>
      <c r="BP39" s="323">
        <v>41</v>
      </c>
      <c r="BQ39" s="323">
        <v>33</v>
      </c>
      <c r="BR39" s="323">
        <v>34</v>
      </c>
      <c r="BS39" s="323">
        <v>55</v>
      </c>
      <c r="BT39" s="323">
        <v>76</v>
      </c>
      <c r="BU39" s="323">
        <v>430</v>
      </c>
      <c r="BV39" s="329" t="s">
        <v>934</v>
      </c>
      <c r="BW39" s="330">
        <v>296</v>
      </c>
      <c r="BX39" s="330">
        <v>140</v>
      </c>
      <c r="BY39" s="330">
        <v>143</v>
      </c>
      <c r="BZ39" s="330">
        <v>86</v>
      </c>
      <c r="CA39" s="330">
        <v>46</v>
      </c>
      <c r="CB39" s="330">
        <v>31</v>
      </c>
      <c r="CC39" s="330">
        <v>20</v>
      </c>
      <c r="CD39" s="330">
        <v>2</v>
      </c>
      <c r="CE39" s="328">
        <v>764</v>
      </c>
      <c r="CF39" s="322" t="s">
        <v>934</v>
      </c>
      <c r="CG39" s="323">
        <v>2767</v>
      </c>
      <c r="CH39" s="323">
        <v>730</v>
      </c>
      <c r="CI39" s="323">
        <v>434</v>
      </c>
      <c r="CJ39" s="323">
        <v>186</v>
      </c>
      <c r="CK39" s="323">
        <v>93</v>
      </c>
      <c r="CL39" s="323">
        <v>41</v>
      </c>
      <c r="CM39" s="323">
        <v>25</v>
      </c>
      <c r="CN39" s="323">
        <v>1</v>
      </c>
      <c r="CO39" s="323">
        <v>4277</v>
      </c>
      <c r="CP39" s="329" t="s">
        <v>934</v>
      </c>
      <c r="CQ39" s="330">
        <v>0</v>
      </c>
      <c r="CR39" s="330">
        <v>0</v>
      </c>
      <c r="CS39" s="330">
        <v>0</v>
      </c>
      <c r="CT39" s="330">
        <v>0</v>
      </c>
      <c r="CU39" s="330">
        <v>0</v>
      </c>
      <c r="CV39" s="330">
        <v>0</v>
      </c>
      <c r="CW39" s="330">
        <v>0</v>
      </c>
      <c r="CX39" s="330">
        <v>0</v>
      </c>
      <c r="CY39" s="328">
        <v>0</v>
      </c>
      <c r="CZ39" s="322" t="s">
        <v>934</v>
      </c>
      <c r="DA39" s="323">
        <v>0</v>
      </c>
      <c r="DB39" s="323">
        <v>0</v>
      </c>
      <c r="DC39" s="323">
        <v>0</v>
      </c>
      <c r="DD39" s="323">
        <v>0</v>
      </c>
      <c r="DE39" s="323">
        <v>0</v>
      </c>
      <c r="DF39" s="323">
        <v>0</v>
      </c>
      <c r="DG39" s="323">
        <v>0</v>
      </c>
      <c r="DH39" s="323">
        <v>0</v>
      </c>
      <c r="DI39" s="323">
        <v>0</v>
      </c>
      <c r="DJ39" s="337">
        <v>1.1</v>
      </c>
      <c r="DK39" s="644">
        <v>143763.4</v>
      </c>
      <c r="DL39" s="614">
        <v>88126</v>
      </c>
      <c r="DM39" s="614">
        <v>41931</v>
      </c>
      <c r="DN39" s="614">
        <v>37241</v>
      </c>
      <c r="DO39" s="614">
        <v>16265</v>
      </c>
      <c r="DP39" s="614">
        <v>11201</v>
      </c>
      <c r="DQ39" s="614">
        <v>5378</v>
      </c>
      <c r="DR39" s="614">
        <v>3476</v>
      </c>
      <c r="DS39" s="615">
        <v>296</v>
      </c>
      <c r="DT39" s="607">
        <f t="shared" si="0"/>
        <v>203914</v>
      </c>
      <c r="DU39" s="342"/>
      <c r="EC39" s="646"/>
      <c r="EF39" s="123"/>
      <c r="EG39" s="124"/>
    </row>
    <row r="40" spans="1:137" ht="15">
      <c r="A40" s="22">
        <v>32</v>
      </c>
      <c r="B40" s="23" t="s">
        <v>195</v>
      </c>
      <c r="C40" s="24" t="s">
        <v>196</v>
      </c>
      <c r="D40" s="613"/>
      <c r="E40" s="628">
        <v>5539</v>
      </c>
      <c r="F40" s="628">
        <v>15147</v>
      </c>
      <c r="G40" s="628">
        <v>17848</v>
      </c>
      <c r="H40" s="628">
        <v>8490</v>
      </c>
      <c r="I40" s="628">
        <v>6653</v>
      </c>
      <c r="J40" s="628">
        <v>3817</v>
      </c>
      <c r="K40" s="628">
        <v>2080</v>
      </c>
      <c r="L40" s="628">
        <v>202</v>
      </c>
      <c r="M40" s="627">
        <v>59776</v>
      </c>
      <c r="N40" s="322"/>
      <c r="O40" s="323">
        <v>372</v>
      </c>
      <c r="P40" s="323">
        <v>403</v>
      </c>
      <c r="Q40" s="323">
        <v>282</v>
      </c>
      <c r="R40" s="323">
        <v>123</v>
      </c>
      <c r="S40" s="323">
        <v>88</v>
      </c>
      <c r="T40" s="323">
        <v>50</v>
      </c>
      <c r="U40" s="323">
        <v>22</v>
      </c>
      <c r="V40" s="323">
        <v>4</v>
      </c>
      <c r="W40" s="323">
        <v>1344</v>
      </c>
      <c r="X40" s="329" t="s">
        <v>934</v>
      </c>
      <c r="Y40" s="330">
        <v>0</v>
      </c>
      <c r="Z40" s="330">
        <v>0</v>
      </c>
      <c r="AA40" s="330">
        <v>0</v>
      </c>
      <c r="AB40" s="330">
        <v>0</v>
      </c>
      <c r="AC40" s="330">
        <v>0</v>
      </c>
      <c r="AD40" s="330">
        <v>0</v>
      </c>
      <c r="AE40" s="330">
        <v>0</v>
      </c>
      <c r="AF40" s="330">
        <v>0</v>
      </c>
      <c r="AG40" s="328">
        <v>0</v>
      </c>
      <c r="AH40" s="329" t="s">
        <v>934</v>
      </c>
      <c r="AI40" s="184">
        <v>10</v>
      </c>
      <c r="AJ40" s="184">
        <v>59</v>
      </c>
      <c r="AK40" s="184">
        <v>101</v>
      </c>
      <c r="AL40" s="184">
        <v>61</v>
      </c>
      <c r="AM40" s="184">
        <v>55</v>
      </c>
      <c r="AN40" s="184">
        <v>40</v>
      </c>
      <c r="AO40" s="184">
        <v>19</v>
      </c>
      <c r="AP40" s="184">
        <v>11</v>
      </c>
      <c r="AQ40" s="336">
        <v>356</v>
      </c>
      <c r="AR40" s="323">
        <v>2</v>
      </c>
      <c r="AS40" s="323">
        <v>3200</v>
      </c>
      <c r="AT40" s="323">
        <v>5975</v>
      </c>
      <c r="AU40" s="323">
        <v>5104</v>
      </c>
      <c r="AV40" s="323">
        <v>1903</v>
      </c>
      <c r="AW40" s="323">
        <v>1020</v>
      </c>
      <c r="AX40" s="323">
        <v>451</v>
      </c>
      <c r="AY40" s="323">
        <v>213</v>
      </c>
      <c r="AZ40" s="323">
        <v>16</v>
      </c>
      <c r="BA40" s="323">
        <v>17884</v>
      </c>
      <c r="BB40" s="331">
        <v>2</v>
      </c>
      <c r="BC40" s="330">
        <v>18</v>
      </c>
      <c r="BD40" s="330">
        <v>61</v>
      </c>
      <c r="BE40" s="330">
        <v>75</v>
      </c>
      <c r="BF40" s="330">
        <v>43</v>
      </c>
      <c r="BG40" s="330">
        <v>32</v>
      </c>
      <c r="BH40" s="330">
        <v>18</v>
      </c>
      <c r="BI40" s="330">
        <v>8</v>
      </c>
      <c r="BJ40" s="330">
        <v>0</v>
      </c>
      <c r="BK40" s="328">
        <v>257</v>
      </c>
      <c r="BL40" s="323">
        <v>0</v>
      </c>
      <c r="BM40" s="323">
        <v>6</v>
      </c>
      <c r="BN40" s="323">
        <v>8</v>
      </c>
      <c r="BO40" s="323">
        <v>11</v>
      </c>
      <c r="BP40" s="323">
        <v>9</v>
      </c>
      <c r="BQ40" s="323">
        <v>13</v>
      </c>
      <c r="BR40" s="323">
        <v>14</v>
      </c>
      <c r="BS40" s="323">
        <v>19</v>
      </c>
      <c r="BT40" s="323">
        <v>6</v>
      </c>
      <c r="BU40" s="323">
        <v>86</v>
      </c>
      <c r="BV40" s="329" t="s">
        <v>934</v>
      </c>
      <c r="BW40" s="330">
        <v>44</v>
      </c>
      <c r="BX40" s="330">
        <v>58</v>
      </c>
      <c r="BY40" s="330">
        <v>55</v>
      </c>
      <c r="BZ40" s="330">
        <v>42</v>
      </c>
      <c r="CA40" s="330">
        <v>34</v>
      </c>
      <c r="CB40" s="330">
        <v>25</v>
      </c>
      <c r="CC40" s="330">
        <v>16</v>
      </c>
      <c r="CD40" s="330">
        <v>3</v>
      </c>
      <c r="CE40" s="328">
        <v>277</v>
      </c>
      <c r="CF40" s="322" t="s">
        <v>934</v>
      </c>
      <c r="CG40" s="323">
        <v>0</v>
      </c>
      <c r="CH40" s="323">
        <v>0</v>
      </c>
      <c r="CI40" s="323">
        <v>0</v>
      </c>
      <c r="CJ40" s="323">
        <v>0</v>
      </c>
      <c r="CK40" s="323">
        <v>0</v>
      </c>
      <c r="CL40" s="323">
        <v>0</v>
      </c>
      <c r="CM40" s="323">
        <v>0</v>
      </c>
      <c r="CN40" s="323">
        <v>0</v>
      </c>
      <c r="CO40" s="323">
        <v>0</v>
      </c>
      <c r="CP40" s="329" t="s">
        <v>934</v>
      </c>
      <c r="CQ40" s="330">
        <v>233</v>
      </c>
      <c r="CR40" s="330">
        <v>197</v>
      </c>
      <c r="CS40" s="330">
        <v>158</v>
      </c>
      <c r="CT40" s="330">
        <v>73</v>
      </c>
      <c r="CU40" s="330">
        <v>49</v>
      </c>
      <c r="CV40" s="330">
        <v>31</v>
      </c>
      <c r="CW40" s="330">
        <v>21</v>
      </c>
      <c r="CX40" s="330">
        <v>6</v>
      </c>
      <c r="CY40" s="328">
        <v>768</v>
      </c>
      <c r="CZ40" s="322" t="s">
        <v>934</v>
      </c>
      <c r="DA40" s="323">
        <v>0</v>
      </c>
      <c r="DB40" s="323">
        <v>0</v>
      </c>
      <c r="DC40" s="323">
        <v>0</v>
      </c>
      <c r="DD40" s="323">
        <v>0</v>
      </c>
      <c r="DE40" s="323">
        <v>0</v>
      </c>
      <c r="DF40" s="323">
        <v>0</v>
      </c>
      <c r="DG40" s="323">
        <v>0</v>
      </c>
      <c r="DH40" s="323">
        <v>0</v>
      </c>
      <c r="DI40" s="323">
        <v>0</v>
      </c>
      <c r="DJ40" s="337">
        <v>0</v>
      </c>
      <c r="DK40" s="644">
        <v>51998.8</v>
      </c>
      <c r="DL40" s="614">
        <v>5617</v>
      </c>
      <c r="DM40" s="614">
        <v>15337</v>
      </c>
      <c r="DN40" s="614">
        <v>18030</v>
      </c>
      <c r="DO40" s="614">
        <v>8605</v>
      </c>
      <c r="DP40" s="614">
        <v>6670</v>
      </c>
      <c r="DQ40" s="614">
        <v>3837</v>
      </c>
      <c r="DR40" s="614">
        <v>2088</v>
      </c>
      <c r="DS40" s="615">
        <v>204</v>
      </c>
      <c r="DT40" s="607">
        <f t="shared" si="0"/>
        <v>60388</v>
      </c>
      <c r="DU40" s="342"/>
      <c r="EC40" s="646"/>
      <c r="EF40" s="123"/>
      <c r="EG40" s="124"/>
    </row>
    <row r="41" spans="1:137" ht="15">
      <c r="A41" s="22">
        <v>33</v>
      </c>
      <c r="B41" s="23" t="s">
        <v>197</v>
      </c>
      <c r="C41" s="24" t="s">
        <v>198</v>
      </c>
      <c r="D41" s="613"/>
      <c r="E41" s="628">
        <v>14136</v>
      </c>
      <c r="F41" s="628">
        <v>15796</v>
      </c>
      <c r="G41" s="628">
        <v>12634</v>
      </c>
      <c r="H41" s="628">
        <v>6593</v>
      </c>
      <c r="I41" s="628">
        <v>3597</v>
      </c>
      <c r="J41" s="628">
        <v>1320</v>
      </c>
      <c r="K41" s="628">
        <v>627</v>
      </c>
      <c r="L41" s="628">
        <v>55</v>
      </c>
      <c r="M41" s="627">
        <v>54758</v>
      </c>
      <c r="N41" s="322"/>
      <c r="O41" s="323">
        <v>719</v>
      </c>
      <c r="P41" s="323">
        <v>551</v>
      </c>
      <c r="Q41" s="323">
        <v>510</v>
      </c>
      <c r="R41" s="323">
        <v>389</v>
      </c>
      <c r="S41" s="323">
        <v>199</v>
      </c>
      <c r="T41" s="323">
        <v>53</v>
      </c>
      <c r="U41" s="323">
        <v>21</v>
      </c>
      <c r="V41" s="323">
        <v>7</v>
      </c>
      <c r="W41" s="323">
        <v>2449</v>
      </c>
      <c r="X41" s="329" t="s">
        <v>934</v>
      </c>
      <c r="Y41" s="330">
        <v>4</v>
      </c>
      <c r="Z41" s="330">
        <v>2</v>
      </c>
      <c r="AA41" s="330">
        <v>3</v>
      </c>
      <c r="AB41" s="330">
        <v>2</v>
      </c>
      <c r="AC41" s="330">
        <v>2</v>
      </c>
      <c r="AD41" s="330">
        <v>0</v>
      </c>
      <c r="AE41" s="330">
        <v>0</v>
      </c>
      <c r="AF41" s="330">
        <v>0</v>
      </c>
      <c r="AG41" s="328">
        <v>13</v>
      </c>
      <c r="AH41" s="329" t="s">
        <v>934</v>
      </c>
      <c r="AI41" s="184">
        <v>24</v>
      </c>
      <c r="AJ41" s="184">
        <v>72</v>
      </c>
      <c r="AK41" s="184">
        <v>106</v>
      </c>
      <c r="AL41" s="184">
        <v>62</v>
      </c>
      <c r="AM41" s="184">
        <v>38</v>
      </c>
      <c r="AN41" s="184">
        <v>10</v>
      </c>
      <c r="AO41" s="184">
        <v>22</v>
      </c>
      <c r="AP41" s="184">
        <v>4</v>
      </c>
      <c r="AQ41" s="336">
        <v>338</v>
      </c>
      <c r="AR41" s="323">
        <v>6</v>
      </c>
      <c r="AS41" s="323">
        <v>6577</v>
      </c>
      <c r="AT41" s="323">
        <v>4754</v>
      </c>
      <c r="AU41" s="323">
        <v>3015</v>
      </c>
      <c r="AV41" s="323">
        <v>991</v>
      </c>
      <c r="AW41" s="323">
        <v>419</v>
      </c>
      <c r="AX41" s="323">
        <v>158</v>
      </c>
      <c r="AY41" s="323">
        <v>76</v>
      </c>
      <c r="AZ41" s="323">
        <v>6</v>
      </c>
      <c r="BA41" s="323">
        <v>16002</v>
      </c>
      <c r="BB41" s="331">
        <v>0</v>
      </c>
      <c r="BC41" s="330">
        <v>76</v>
      </c>
      <c r="BD41" s="330">
        <v>87</v>
      </c>
      <c r="BE41" s="330">
        <v>89</v>
      </c>
      <c r="BF41" s="330">
        <v>40</v>
      </c>
      <c r="BG41" s="330">
        <v>21</v>
      </c>
      <c r="BH41" s="330">
        <v>9</v>
      </c>
      <c r="BI41" s="330">
        <v>4</v>
      </c>
      <c r="BJ41" s="330">
        <v>0</v>
      </c>
      <c r="BK41" s="328">
        <v>326</v>
      </c>
      <c r="BL41" s="323">
        <v>0</v>
      </c>
      <c r="BM41" s="323">
        <v>3</v>
      </c>
      <c r="BN41" s="323">
        <v>1</v>
      </c>
      <c r="BO41" s="323">
        <v>8</v>
      </c>
      <c r="BP41" s="323">
        <v>9</v>
      </c>
      <c r="BQ41" s="323">
        <v>3</v>
      </c>
      <c r="BR41" s="323">
        <v>20</v>
      </c>
      <c r="BS41" s="323">
        <v>7</v>
      </c>
      <c r="BT41" s="323">
        <v>2</v>
      </c>
      <c r="BU41" s="323">
        <v>53</v>
      </c>
      <c r="BV41" s="329" t="s">
        <v>934</v>
      </c>
      <c r="BW41" s="330">
        <v>51</v>
      </c>
      <c r="BX41" s="330">
        <v>109</v>
      </c>
      <c r="BY41" s="330">
        <v>89</v>
      </c>
      <c r="BZ41" s="330">
        <v>47</v>
      </c>
      <c r="CA41" s="330">
        <v>33</v>
      </c>
      <c r="CB41" s="330">
        <v>18</v>
      </c>
      <c r="CC41" s="330">
        <v>18</v>
      </c>
      <c r="CD41" s="330">
        <v>0</v>
      </c>
      <c r="CE41" s="328">
        <v>365</v>
      </c>
      <c r="CF41" s="322" t="s">
        <v>934</v>
      </c>
      <c r="CG41" s="323">
        <v>217</v>
      </c>
      <c r="CH41" s="323">
        <v>149</v>
      </c>
      <c r="CI41" s="323">
        <v>130</v>
      </c>
      <c r="CJ41" s="323">
        <v>57</v>
      </c>
      <c r="CK41" s="323">
        <v>37</v>
      </c>
      <c r="CL41" s="323">
        <v>12</v>
      </c>
      <c r="CM41" s="323">
        <v>10</v>
      </c>
      <c r="CN41" s="323">
        <v>2</v>
      </c>
      <c r="CO41" s="323">
        <v>614</v>
      </c>
      <c r="CP41" s="329" t="s">
        <v>934</v>
      </c>
      <c r="CQ41" s="330">
        <v>0</v>
      </c>
      <c r="CR41" s="330">
        <v>0</v>
      </c>
      <c r="CS41" s="330">
        <v>0</v>
      </c>
      <c r="CT41" s="330">
        <v>0</v>
      </c>
      <c r="CU41" s="330">
        <v>0</v>
      </c>
      <c r="CV41" s="330">
        <v>0</v>
      </c>
      <c r="CW41" s="330">
        <v>0</v>
      </c>
      <c r="CX41" s="330">
        <v>0</v>
      </c>
      <c r="CY41" s="328">
        <v>0</v>
      </c>
      <c r="CZ41" s="322" t="s">
        <v>934</v>
      </c>
      <c r="DA41" s="323">
        <v>0</v>
      </c>
      <c r="DB41" s="323">
        <v>0</v>
      </c>
      <c r="DC41" s="323">
        <v>0</v>
      </c>
      <c r="DD41" s="323">
        <v>0</v>
      </c>
      <c r="DE41" s="323">
        <v>0</v>
      </c>
      <c r="DF41" s="323">
        <v>0</v>
      </c>
      <c r="DG41" s="323">
        <v>0</v>
      </c>
      <c r="DH41" s="323">
        <v>0</v>
      </c>
      <c r="DI41" s="323">
        <v>0</v>
      </c>
      <c r="DJ41" s="337">
        <v>288.9</v>
      </c>
      <c r="DK41" s="644">
        <v>41411.5</v>
      </c>
      <c r="DL41" s="614">
        <v>14323</v>
      </c>
      <c r="DM41" s="614">
        <v>15897</v>
      </c>
      <c r="DN41" s="614">
        <v>12732</v>
      </c>
      <c r="DO41" s="614">
        <v>6669</v>
      </c>
      <c r="DP41" s="614">
        <v>3692</v>
      </c>
      <c r="DQ41" s="614">
        <v>1342</v>
      </c>
      <c r="DR41" s="614">
        <v>655</v>
      </c>
      <c r="DS41" s="615">
        <v>55</v>
      </c>
      <c r="DT41" s="607">
        <f t="shared" si="0"/>
        <v>55365</v>
      </c>
      <c r="DU41" s="342"/>
      <c r="EC41" s="646"/>
      <c r="EF41" s="126"/>
      <c r="EG41" s="124"/>
    </row>
    <row r="42" spans="1:137" ht="15">
      <c r="A42" s="22">
        <v>34</v>
      </c>
      <c r="B42" s="23" t="s">
        <v>199</v>
      </c>
      <c r="C42" s="24" t="s">
        <v>200</v>
      </c>
      <c r="D42" s="613"/>
      <c r="E42" s="626">
        <v>2434</v>
      </c>
      <c r="F42" s="626">
        <v>11353</v>
      </c>
      <c r="G42" s="626">
        <v>31253</v>
      </c>
      <c r="H42" s="626">
        <v>29715</v>
      </c>
      <c r="I42" s="626">
        <v>21256</v>
      </c>
      <c r="J42" s="626">
        <v>6151</v>
      </c>
      <c r="K42" s="626">
        <v>3332</v>
      </c>
      <c r="L42" s="626">
        <v>259</v>
      </c>
      <c r="M42" s="627">
        <v>105753</v>
      </c>
      <c r="N42" s="322"/>
      <c r="O42" s="323">
        <v>153</v>
      </c>
      <c r="P42" s="323">
        <v>362</v>
      </c>
      <c r="Q42" s="323">
        <v>950</v>
      </c>
      <c r="R42" s="323">
        <v>660</v>
      </c>
      <c r="S42" s="323">
        <v>407</v>
      </c>
      <c r="T42" s="323">
        <v>131</v>
      </c>
      <c r="U42" s="323">
        <v>89</v>
      </c>
      <c r="V42" s="323">
        <v>18</v>
      </c>
      <c r="W42" s="323">
        <v>2770</v>
      </c>
      <c r="X42" s="329" t="s">
        <v>934</v>
      </c>
      <c r="Y42" s="330">
        <v>0</v>
      </c>
      <c r="Z42" s="330">
        <v>0</v>
      </c>
      <c r="AA42" s="330">
        <v>0</v>
      </c>
      <c r="AB42" s="330">
        <v>0</v>
      </c>
      <c r="AC42" s="330">
        <v>0</v>
      </c>
      <c r="AD42" s="330">
        <v>0</v>
      </c>
      <c r="AE42" s="330">
        <v>0</v>
      </c>
      <c r="AF42" s="330">
        <v>0</v>
      </c>
      <c r="AG42" s="328">
        <v>0</v>
      </c>
      <c r="AH42" s="329" t="s">
        <v>934</v>
      </c>
      <c r="AI42" s="184">
        <v>1</v>
      </c>
      <c r="AJ42" s="184">
        <v>29</v>
      </c>
      <c r="AK42" s="184">
        <v>85</v>
      </c>
      <c r="AL42" s="184">
        <v>227</v>
      </c>
      <c r="AM42" s="184">
        <v>216</v>
      </c>
      <c r="AN42" s="184">
        <v>88</v>
      </c>
      <c r="AO42" s="184">
        <v>51</v>
      </c>
      <c r="AP42" s="184">
        <v>6</v>
      </c>
      <c r="AQ42" s="336">
        <v>703</v>
      </c>
      <c r="AR42" s="323">
        <v>1</v>
      </c>
      <c r="AS42" s="323">
        <v>1185</v>
      </c>
      <c r="AT42" s="323">
        <v>6753</v>
      </c>
      <c r="AU42" s="323">
        <v>15069</v>
      </c>
      <c r="AV42" s="323">
        <v>9015</v>
      </c>
      <c r="AW42" s="323">
        <v>4777</v>
      </c>
      <c r="AX42" s="323">
        <v>1023</v>
      </c>
      <c r="AY42" s="323">
        <v>470</v>
      </c>
      <c r="AZ42" s="323">
        <v>12</v>
      </c>
      <c r="BA42" s="323">
        <v>38305</v>
      </c>
      <c r="BB42" s="331">
        <v>0</v>
      </c>
      <c r="BC42" s="330">
        <v>8</v>
      </c>
      <c r="BD42" s="330">
        <v>77</v>
      </c>
      <c r="BE42" s="330">
        <v>257</v>
      </c>
      <c r="BF42" s="330">
        <v>257</v>
      </c>
      <c r="BG42" s="330">
        <v>168</v>
      </c>
      <c r="BH42" s="330">
        <v>57</v>
      </c>
      <c r="BI42" s="330">
        <v>26</v>
      </c>
      <c r="BJ42" s="330">
        <v>3</v>
      </c>
      <c r="BK42" s="328">
        <v>853</v>
      </c>
      <c r="BL42" s="323">
        <v>0</v>
      </c>
      <c r="BM42" s="323">
        <v>0</v>
      </c>
      <c r="BN42" s="323">
        <v>11</v>
      </c>
      <c r="BO42" s="323">
        <v>21</v>
      </c>
      <c r="BP42" s="323">
        <v>31</v>
      </c>
      <c r="BQ42" s="323">
        <v>30</v>
      </c>
      <c r="BR42" s="323">
        <v>37</v>
      </c>
      <c r="BS42" s="323">
        <v>33</v>
      </c>
      <c r="BT42" s="323">
        <v>16</v>
      </c>
      <c r="BU42" s="323">
        <v>179</v>
      </c>
      <c r="BV42" s="329" t="s">
        <v>934</v>
      </c>
      <c r="BW42" s="330">
        <v>79</v>
      </c>
      <c r="BX42" s="330">
        <v>82</v>
      </c>
      <c r="BY42" s="330">
        <v>288</v>
      </c>
      <c r="BZ42" s="330">
        <v>209</v>
      </c>
      <c r="CA42" s="330">
        <v>161</v>
      </c>
      <c r="CB42" s="330">
        <v>61</v>
      </c>
      <c r="CC42" s="330">
        <v>36</v>
      </c>
      <c r="CD42" s="330">
        <v>16</v>
      </c>
      <c r="CE42" s="328">
        <v>932</v>
      </c>
      <c r="CF42" s="322" t="s">
        <v>934</v>
      </c>
      <c r="CG42" s="323">
        <v>0</v>
      </c>
      <c r="CH42" s="323">
        <v>0</v>
      </c>
      <c r="CI42" s="323">
        <v>0</v>
      </c>
      <c r="CJ42" s="323">
        <v>0</v>
      </c>
      <c r="CK42" s="323">
        <v>0</v>
      </c>
      <c r="CL42" s="323">
        <v>0</v>
      </c>
      <c r="CM42" s="323">
        <v>0</v>
      </c>
      <c r="CN42" s="323">
        <v>0</v>
      </c>
      <c r="CO42" s="323">
        <v>0</v>
      </c>
      <c r="CP42" s="329" t="s">
        <v>934</v>
      </c>
      <c r="CQ42" s="330">
        <v>0</v>
      </c>
      <c r="CR42" s="330">
        <v>0</v>
      </c>
      <c r="CS42" s="330">
        <v>0</v>
      </c>
      <c r="CT42" s="330">
        <v>0</v>
      </c>
      <c r="CU42" s="330">
        <v>0</v>
      </c>
      <c r="CV42" s="330">
        <v>0</v>
      </c>
      <c r="CW42" s="330">
        <v>0</v>
      </c>
      <c r="CX42" s="330">
        <v>0</v>
      </c>
      <c r="CY42" s="328">
        <v>0</v>
      </c>
      <c r="CZ42" s="322" t="s">
        <v>934</v>
      </c>
      <c r="DA42" s="323">
        <v>212</v>
      </c>
      <c r="DB42" s="323">
        <v>134</v>
      </c>
      <c r="DC42" s="323">
        <v>359</v>
      </c>
      <c r="DD42" s="323">
        <v>239</v>
      </c>
      <c r="DE42" s="323">
        <v>165</v>
      </c>
      <c r="DF42" s="323">
        <v>60</v>
      </c>
      <c r="DG42" s="323">
        <v>37</v>
      </c>
      <c r="DH42" s="323">
        <v>8</v>
      </c>
      <c r="DI42" s="323">
        <v>1214</v>
      </c>
      <c r="DJ42" s="337">
        <v>0</v>
      </c>
      <c r="DK42" s="644">
        <v>95926.3</v>
      </c>
      <c r="DL42" s="614">
        <v>2436</v>
      </c>
      <c r="DM42" s="614">
        <v>11477</v>
      </c>
      <c r="DN42" s="614">
        <v>31707</v>
      </c>
      <c r="DO42" s="614">
        <v>29988</v>
      </c>
      <c r="DP42" s="614">
        <v>21545</v>
      </c>
      <c r="DQ42" s="614">
        <v>6170</v>
      </c>
      <c r="DR42" s="614">
        <v>3333</v>
      </c>
      <c r="DS42" s="615">
        <v>258</v>
      </c>
      <c r="DT42" s="607">
        <f t="shared" si="0"/>
        <v>106914</v>
      </c>
      <c r="DU42" s="342"/>
      <c r="EC42" s="646"/>
      <c r="EF42" s="123"/>
      <c r="EG42" s="124"/>
    </row>
    <row r="43" spans="1:137" ht="15">
      <c r="A43" s="22">
        <v>35</v>
      </c>
      <c r="B43" s="23" t="s">
        <v>201</v>
      </c>
      <c r="C43" s="24" t="s">
        <v>202</v>
      </c>
      <c r="D43" s="613"/>
      <c r="E43" s="628">
        <v>551</v>
      </c>
      <c r="F43" s="628">
        <v>2605</v>
      </c>
      <c r="G43" s="628">
        <v>6163</v>
      </c>
      <c r="H43" s="628">
        <v>7784</v>
      </c>
      <c r="I43" s="628">
        <v>5380</v>
      </c>
      <c r="J43" s="628">
        <v>4283</v>
      </c>
      <c r="K43" s="628">
        <v>3690</v>
      </c>
      <c r="L43" s="628">
        <v>466</v>
      </c>
      <c r="M43" s="627">
        <v>30922</v>
      </c>
      <c r="N43" s="322"/>
      <c r="O43" s="323">
        <v>25</v>
      </c>
      <c r="P43" s="323">
        <v>77</v>
      </c>
      <c r="Q43" s="323">
        <v>166</v>
      </c>
      <c r="R43" s="323">
        <v>107</v>
      </c>
      <c r="S43" s="323">
        <v>72</v>
      </c>
      <c r="T43" s="323">
        <v>44</v>
      </c>
      <c r="U43" s="323">
        <v>45</v>
      </c>
      <c r="V43" s="323">
        <v>10</v>
      </c>
      <c r="W43" s="323">
        <v>546</v>
      </c>
      <c r="X43" s="329" t="s">
        <v>934</v>
      </c>
      <c r="Y43" s="330">
        <v>3</v>
      </c>
      <c r="Z43" s="330">
        <v>0</v>
      </c>
      <c r="AA43" s="330">
        <v>0</v>
      </c>
      <c r="AB43" s="330">
        <v>0</v>
      </c>
      <c r="AC43" s="330">
        <v>0</v>
      </c>
      <c r="AD43" s="330">
        <v>2</v>
      </c>
      <c r="AE43" s="330">
        <v>3</v>
      </c>
      <c r="AF43" s="330">
        <v>2</v>
      </c>
      <c r="AG43" s="328">
        <v>10</v>
      </c>
      <c r="AH43" s="329" t="s">
        <v>934</v>
      </c>
      <c r="AI43" s="184">
        <v>0</v>
      </c>
      <c r="AJ43" s="184">
        <v>2</v>
      </c>
      <c r="AK43" s="184">
        <v>19</v>
      </c>
      <c r="AL43" s="184">
        <v>37</v>
      </c>
      <c r="AM43" s="184">
        <v>25</v>
      </c>
      <c r="AN43" s="184">
        <v>31</v>
      </c>
      <c r="AO43" s="184">
        <v>21</v>
      </c>
      <c r="AP43" s="184">
        <v>12</v>
      </c>
      <c r="AQ43" s="336">
        <v>147</v>
      </c>
      <c r="AR43" s="323">
        <v>0</v>
      </c>
      <c r="AS43" s="323">
        <v>329</v>
      </c>
      <c r="AT43" s="323">
        <v>1553</v>
      </c>
      <c r="AU43" s="323">
        <v>2769</v>
      </c>
      <c r="AV43" s="323">
        <v>2358</v>
      </c>
      <c r="AW43" s="323">
        <v>1262</v>
      </c>
      <c r="AX43" s="323">
        <v>802</v>
      </c>
      <c r="AY43" s="323">
        <v>433</v>
      </c>
      <c r="AZ43" s="323">
        <v>41</v>
      </c>
      <c r="BA43" s="323">
        <v>9547</v>
      </c>
      <c r="BB43" s="331">
        <v>0</v>
      </c>
      <c r="BC43" s="330">
        <v>0</v>
      </c>
      <c r="BD43" s="330">
        <v>12</v>
      </c>
      <c r="BE43" s="330">
        <v>38</v>
      </c>
      <c r="BF43" s="330">
        <v>36</v>
      </c>
      <c r="BG43" s="330">
        <v>26</v>
      </c>
      <c r="BH43" s="330">
        <v>23</v>
      </c>
      <c r="BI43" s="330">
        <v>23</v>
      </c>
      <c r="BJ43" s="330">
        <v>2</v>
      </c>
      <c r="BK43" s="328">
        <v>160</v>
      </c>
      <c r="BL43" s="323">
        <v>0</v>
      </c>
      <c r="BM43" s="323">
        <v>2</v>
      </c>
      <c r="BN43" s="323">
        <v>2</v>
      </c>
      <c r="BO43" s="323">
        <v>1</v>
      </c>
      <c r="BP43" s="323">
        <v>3</v>
      </c>
      <c r="BQ43" s="323">
        <v>5</v>
      </c>
      <c r="BR43" s="323">
        <v>6</v>
      </c>
      <c r="BS43" s="323">
        <v>24</v>
      </c>
      <c r="BT43" s="323">
        <v>3</v>
      </c>
      <c r="BU43" s="323">
        <v>46</v>
      </c>
      <c r="BV43" s="329" t="s">
        <v>934</v>
      </c>
      <c r="BW43" s="330">
        <v>13</v>
      </c>
      <c r="BX43" s="330">
        <v>23</v>
      </c>
      <c r="BY43" s="330">
        <v>54</v>
      </c>
      <c r="BZ43" s="330">
        <v>80</v>
      </c>
      <c r="CA43" s="330">
        <v>29</v>
      </c>
      <c r="CB43" s="330">
        <v>19</v>
      </c>
      <c r="CC43" s="330">
        <v>17</v>
      </c>
      <c r="CD43" s="330">
        <v>4</v>
      </c>
      <c r="CE43" s="328">
        <v>239</v>
      </c>
      <c r="CF43" s="322" t="s">
        <v>934</v>
      </c>
      <c r="CG43" s="323">
        <v>14</v>
      </c>
      <c r="CH43" s="323">
        <v>27</v>
      </c>
      <c r="CI43" s="323">
        <v>77</v>
      </c>
      <c r="CJ43" s="323">
        <v>55</v>
      </c>
      <c r="CK43" s="323">
        <v>44</v>
      </c>
      <c r="CL43" s="323">
        <v>37</v>
      </c>
      <c r="CM43" s="323">
        <v>35</v>
      </c>
      <c r="CN43" s="323">
        <v>6</v>
      </c>
      <c r="CO43" s="323">
        <v>295</v>
      </c>
      <c r="CP43" s="329" t="s">
        <v>934</v>
      </c>
      <c r="CQ43" s="330">
        <v>0</v>
      </c>
      <c r="CR43" s="330">
        <v>0</v>
      </c>
      <c r="CS43" s="330">
        <v>0</v>
      </c>
      <c r="CT43" s="330">
        <v>0</v>
      </c>
      <c r="CU43" s="330">
        <v>0</v>
      </c>
      <c r="CV43" s="330">
        <v>0</v>
      </c>
      <c r="CW43" s="330">
        <v>0</v>
      </c>
      <c r="CX43" s="330">
        <v>0</v>
      </c>
      <c r="CY43" s="328">
        <v>0</v>
      </c>
      <c r="CZ43" s="322" t="s">
        <v>934</v>
      </c>
      <c r="DA43" s="323">
        <v>0</v>
      </c>
      <c r="DB43" s="323">
        <v>0</v>
      </c>
      <c r="DC43" s="323">
        <v>0</v>
      </c>
      <c r="DD43" s="323">
        <v>0</v>
      </c>
      <c r="DE43" s="323">
        <v>0</v>
      </c>
      <c r="DF43" s="323">
        <v>0</v>
      </c>
      <c r="DG43" s="323">
        <v>0</v>
      </c>
      <c r="DH43" s="323">
        <v>0</v>
      </c>
      <c r="DI43" s="323">
        <v>0</v>
      </c>
      <c r="DJ43" s="337">
        <v>0</v>
      </c>
      <c r="DK43" s="644">
        <v>32070</v>
      </c>
      <c r="DL43" s="614">
        <v>551</v>
      </c>
      <c r="DM43" s="614">
        <v>2625</v>
      </c>
      <c r="DN43" s="614">
        <v>6240</v>
      </c>
      <c r="DO43" s="614">
        <v>7821</v>
      </c>
      <c r="DP43" s="614">
        <v>5488</v>
      </c>
      <c r="DQ43" s="614">
        <v>4298</v>
      </c>
      <c r="DR43" s="614">
        <v>3719</v>
      </c>
      <c r="DS43" s="615">
        <v>485</v>
      </c>
      <c r="DT43" s="607">
        <f t="shared" si="0"/>
        <v>31227</v>
      </c>
      <c r="DU43" s="342"/>
      <c r="EC43" s="646"/>
      <c r="EF43" s="123"/>
      <c r="EG43" s="124"/>
    </row>
    <row r="44" spans="1:137" ht="15">
      <c r="A44" s="22">
        <v>36</v>
      </c>
      <c r="B44" s="23" t="s">
        <v>203</v>
      </c>
      <c r="C44" s="24" t="s">
        <v>204</v>
      </c>
      <c r="D44" s="613"/>
      <c r="E44" s="628">
        <v>3594</v>
      </c>
      <c r="F44" s="628">
        <v>4831</v>
      </c>
      <c r="G44" s="628">
        <v>5456</v>
      </c>
      <c r="H44" s="628">
        <v>2918</v>
      </c>
      <c r="I44" s="628">
        <v>2380</v>
      </c>
      <c r="J44" s="628">
        <v>2164</v>
      </c>
      <c r="K44" s="628">
        <v>1384</v>
      </c>
      <c r="L44" s="628">
        <v>129</v>
      </c>
      <c r="M44" s="627">
        <v>22856</v>
      </c>
      <c r="N44" s="322"/>
      <c r="O44" s="323">
        <v>328</v>
      </c>
      <c r="P44" s="323">
        <v>218</v>
      </c>
      <c r="Q44" s="323">
        <v>206</v>
      </c>
      <c r="R44" s="323">
        <v>59</v>
      </c>
      <c r="S44" s="323">
        <v>136</v>
      </c>
      <c r="T44" s="323">
        <v>63</v>
      </c>
      <c r="U44" s="323">
        <v>48</v>
      </c>
      <c r="V44" s="323">
        <v>6</v>
      </c>
      <c r="W44" s="323">
        <v>1064</v>
      </c>
      <c r="X44" s="329" t="s">
        <v>934</v>
      </c>
      <c r="Y44" s="330">
        <v>0</v>
      </c>
      <c r="Z44" s="330">
        <v>0</v>
      </c>
      <c r="AA44" s="330">
        <v>0</v>
      </c>
      <c r="AB44" s="330">
        <v>0</v>
      </c>
      <c r="AC44" s="330">
        <v>0</v>
      </c>
      <c r="AD44" s="330">
        <v>0</v>
      </c>
      <c r="AE44" s="330">
        <v>0</v>
      </c>
      <c r="AF44" s="330">
        <v>0</v>
      </c>
      <c r="AG44" s="328">
        <v>0</v>
      </c>
      <c r="AH44" s="329" t="s">
        <v>934</v>
      </c>
      <c r="AI44" s="184">
        <v>15</v>
      </c>
      <c r="AJ44" s="184">
        <v>17</v>
      </c>
      <c r="AK44" s="184">
        <v>27</v>
      </c>
      <c r="AL44" s="184">
        <v>22</v>
      </c>
      <c r="AM44" s="184">
        <v>15</v>
      </c>
      <c r="AN44" s="184">
        <v>27</v>
      </c>
      <c r="AO44" s="184">
        <v>21</v>
      </c>
      <c r="AP44" s="184">
        <v>8</v>
      </c>
      <c r="AQ44" s="336">
        <v>152</v>
      </c>
      <c r="AR44" s="323">
        <v>4</v>
      </c>
      <c r="AS44" s="323">
        <v>1576</v>
      </c>
      <c r="AT44" s="323">
        <v>1707</v>
      </c>
      <c r="AU44" s="323">
        <v>1588</v>
      </c>
      <c r="AV44" s="323">
        <v>718</v>
      </c>
      <c r="AW44" s="323">
        <v>450</v>
      </c>
      <c r="AX44" s="323">
        <v>313</v>
      </c>
      <c r="AY44" s="323">
        <v>181</v>
      </c>
      <c r="AZ44" s="323">
        <v>21</v>
      </c>
      <c r="BA44" s="323">
        <v>6558</v>
      </c>
      <c r="BB44" s="331">
        <v>0</v>
      </c>
      <c r="BC44" s="330">
        <v>15</v>
      </c>
      <c r="BD44" s="330">
        <v>32</v>
      </c>
      <c r="BE44" s="330">
        <v>37</v>
      </c>
      <c r="BF44" s="330">
        <v>10</v>
      </c>
      <c r="BG44" s="330">
        <v>12</v>
      </c>
      <c r="BH44" s="330">
        <v>11</v>
      </c>
      <c r="BI44" s="330">
        <v>4</v>
      </c>
      <c r="BJ44" s="330">
        <v>1</v>
      </c>
      <c r="BK44" s="328">
        <v>122</v>
      </c>
      <c r="BL44" s="323">
        <v>0</v>
      </c>
      <c r="BM44" s="323">
        <v>1</v>
      </c>
      <c r="BN44" s="323">
        <v>3</v>
      </c>
      <c r="BO44" s="323">
        <v>3</v>
      </c>
      <c r="BP44" s="323">
        <v>2</v>
      </c>
      <c r="BQ44" s="323">
        <v>1</v>
      </c>
      <c r="BR44" s="323">
        <v>9</v>
      </c>
      <c r="BS44" s="323">
        <v>7</v>
      </c>
      <c r="BT44" s="323">
        <v>0</v>
      </c>
      <c r="BU44" s="323">
        <v>26</v>
      </c>
      <c r="BV44" s="329" t="s">
        <v>934</v>
      </c>
      <c r="BW44" s="330">
        <v>135</v>
      </c>
      <c r="BX44" s="330">
        <v>38</v>
      </c>
      <c r="BY44" s="330">
        <v>31</v>
      </c>
      <c r="BZ44" s="330">
        <v>26</v>
      </c>
      <c r="CA44" s="330">
        <v>20</v>
      </c>
      <c r="CB44" s="330">
        <v>12</v>
      </c>
      <c r="CC44" s="330">
        <v>16</v>
      </c>
      <c r="CD44" s="330">
        <v>2</v>
      </c>
      <c r="CE44" s="328">
        <v>280</v>
      </c>
      <c r="CF44" s="322" t="s">
        <v>934</v>
      </c>
      <c r="CG44" s="323">
        <v>0</v>
      </c>
      <c r="CH44" s="323">
        <v>0</v>
      </c>
      <c r="CI44" s="323">
        <v>0</v>
      </c>
      <c r="CJ44" s="323">
        <v>0</v>
      </c>
      <c r="CK44" s="323">
        <v>0</v>
      </c>
      <c r="CL44" s="323">
        <v>0</v>
      </c>
      <c r="CM44" s="323">
        <v>0</v>
      </c>
      <c r="CN44" s="323">
        <v>0</v>
      </c>
      <c r="CO44" s="323">
        <v>0</v>
      </c>
      <c r="CP44" s="329" t="s">
        <v>934</v>
      </c>
      <c r="CQ44" s="330">
        <v>85</v>
      </c>
      <c r="CR44" s="330">
        <v>62</v>
      </c>
      <c r="CS44" s="330">
        <v>29</v>
      </c>
      <c r="CT44" s="330">
        <v>27</v>
      </c>
      <c r="CU44" s="330">
        <v>27</v>
      </c>
      <c r="CV44" s="330">
        <v>12</v>
      </c>
      <c r="CW44" s="330">
        <v>9</v>
      </c>
      <c r="CX44" s="330">
        <v>0</v>
      </c>
      <c r="CY44" s="328">
        <v>251</v>
      </c>
      <c r="CZ44" s="322" t="s">
        <v>934</v>
      </c>
      <c r="DA44" s="323">
        <v>0</v>
      </c>
      <c r="DB44" s="323">
        <v>0</v>
      </c>
      <c r="DC44" s="323">
        <v>0</v>
      </c>
      <c r="DD44" s="323">
        <v>0</v>
      </c>
      <c r="DE44" s="323">
        <v>0</v>
      </c>
      <c r="DF44" s="323">
        <v>0</v>
      </c>
      <c r="DG44" s="323">
        <v>0</v>
      </c>
      <c r="DH44" s="323">
        <v>0</v>
      </c>
      <c r="DI44" s="323">
        <v>0</v>
      </c>
      <c r="DJ44" s="337">
        <v>414.8</v>
      </c>
      <c r="DK44" s="644">
        <v>20224.2</v>
      </c>
      <c r="DL44" s="614">
        <v>3702</v>
      </c>
      <c r="DM44" s="614">
        <v>4877</v>
      </c>
      <c r="DN44" s="614">
        <v>5512</v>
      </c>
      <c r="DO44" s="614">
        <v>2913</v>
      </c>
      <c r="DP44" s="614">
        <v>2408</v>
      </c>
      <c r="DQ44" s="614">
        <v>2165</v>
      </c>
      <c r="DR44" s="614">
        <v>1389</v>
      </c>
      <c r="DS44" s="615">
        <v>130</v>
      </c>
      <c r="DT44" s="607">
        <f t="shared" si="0"/>
        <v>23096</v>
      </c>
      <c r="DU44" s="342"/>
      <c r="EC44" s="646"/>
      <c r="EF44" s="123"/>
      <c r="EG44" s="124"/>
    </row>
    <row r="45" spans="1:137" ht="15">
      <c r="A45" s="22">
        <v>37</v>
      </c>
      <c r="B45" s="23" t="s">
        <v>205</v>
      </c>
      <c r="C45" s="24" t="s">
        <v>206</v>
      </c>
      <c r="D45" s="613"/>
      <c r="E45" s="626">
        <v>25765</v>
      </c>
      <c r="F45" s="626">
        <v>27288</v>
      </c>
      <c r="G45" s="626">
        <v>32907</v>
      </c>
      <c r="H45" s="626">
        <v>18783</v>
      </c>
      <c r="I45" s="626">
        <v>10648</v>
      </c>
      <c r="J45" s="626">
        <v>4291</v>
      </c>
      <c r="K45" s="626">
        <v>2626</v>
      </c>
      <c r="L45" s="626">
        <v>170</v>
      </c>
      <c r="M45" s="627">
        <v>122478</v>
      </c>
      <c r="N45" s="322"/>
      <c r="O45" s="323">
        <v>1537</v>
      </c>
      <c r="P45" s="323">
        <v>1160</v>
      </c>
      <c r="Q45" s="323">
        <v>1462</v>
      </c>
      <c r="R45" s="323">
        <v>763</v>
      </c>
      <c r="S45" s="323">
        <v>273</v>
      </c>
      <c r="T45" s="323">
        <v>114</v>
      </c>
      <c r="U45" s="323">
        <v>96</v>
      </c>
      <c r="V45" s="323">
        <v>15</v>
      </c>
      <c r="W45" s="323">
        <v>5420</v>
      </c>
      <c r="X45" s="329" t="s">
        <v>934</v>
      </c>
      <c r="Y45" s="330">
        <v>0</v>
      </c>
      <c r="Z45" s="330">
        <v>0</v>
      </c>
      <c r="AA45" s="330">
        <v>0</v>
      </c>
      <c r="AB45" s="330">
        <v>0</v>
      </c>
      <c r="AC45" s="330">
        <v>0</v>
      </c>
      <c r="AD45" s="330">
        <v>0</v>
      </c>
      <c r="AE45" s="330">
        <v>0</v>
      </c>
      <c r="AF45" s="330">
        <v>0</v>
      </c>
      <c r="AG45" s="328">
        <v>0</v>
      </c>
      <c r="AH45" s="329" t="s">
        <v>934</v>
      </c>
      <c r="AI45" s="184">
        <v>9</v>
      </c>
      <c r="AJ45" s="184">
        <v>59</v>
      </c>
      <c r="AK45" s="184">
        <v>116</v>
      </c>
      <c r="AL45" s="184">
        <v>108</v>
      </c>
      <c r="AM45" s="184">
        <v>65</v>
      </c>
      <c r="AN45" s="184">
        <v>42</v>
      </c>
      <c r="AO45" s="184">
        <v>45</v>
      </c>
      <c r="AP45" s="184">
        <v>20</v>
      </c>
      <c r="AQ45" s="336">
        <v>464</v>
      </c>
      <c r="AR45" s="323">
        <v>6</v>
      </c>
      <c r="AS45" s="323">
        <v>14211</v>
      </c>
      <c r="AT45" s="323">
        <v>12119</v>
      </c>
      <c r="AU45" s="323">
        <v>10988</v>
      </c>
      <c r="AV45" s="323">
        <v>5307</v>
      </c>
      <c r="AW45" s="323">
        <v>2628</v>
      </c>
      <c r="AX45" s="323">
        <v>849</v>
      </c>
      <c r="AY45" s="323">
        <v>406</v>
      </c>
      <c r="AZ45" s="323">
        <v>12</v>
      </c>
      <c r="BA45" s="323">
        <v>46526</v>
      </c>
      <c r="BB45" s="331">
        <v>0</v>
      </c>
      <c r="BC45" s="330">
        <v>225</v>
      </c>
      <c r="BD45" s="330">
        <v>319</v>
      </c>
      <c r="BE45" s="330">
        <v>332</v>
      </c>
      <c r="BF45" s="330">
        <v>139</v>
      </c>
      <c r="BG45" s="330">
        <v>84</v>
      </c>
      <c r="BH45" s="330">
        <v>31</v>
      </c>
      <c r="BI45" s="330">
        <v>17</v>
      </c>
      <c r="BJ45" s="330">
        <v>2</v>
      </c>
      <c r="BK45" s="328">
        <v>1149</v>
      </c>
      <c r="BL45" s="323">
        <v>0</v>
      </c>
      <c r="BM45" s="323">
        <v>7</v>
      </c>
      <c r="BN45" s="323">
        <v>19</v>
      </c>
      <c r="BO45" s="323">
        <v>25</v>
      </c>
      <c r="BP45" s="323">
        <v>15</v>
      </c>
      <c r="BQ45" s="323">
        <v>22</v>
      </c>
      <c r="BR45" s="323">
        <v>47</v>
      </c>
      <c r="BS45" s="323">
        <v>58</v>
      </c>
      <c r="BT45" s="323">
        <v>17</v>
      </c>
      <c r="BU45" s="323">
        <v>210</v>
      </c>
      <c r="BV45" s="329" t="s">
        <v>934</v>
      </c>
      <c r="BW45" s="330">
        <v>544</v>
      </c>
      <c r="BX45" s="330">
        <v>575</v>
      </c>
      <c r="BY45" s="330">
        <v>590</v>
      </c>
      <c r="BZ45" s="330">
        <v>368</v>
      </c>
      <c r="CA45" s="330">
        <v>289</v>
      </c>
      <c r="CB45" s="330">
        <v>92</v>
      </c>
      <c r="CC45" s="330">
        <v>69</v>
      </c>
      <c r="CD45" s="330">
        <v>7</v>
      </c>
      <c r="CE45" s="328">
        <v>2534</v>
      </c>
      <c r="CF45" s="322" t="s">
        <v>934</v>
      </c>
      <c r="CG45" s="323">
        <v>4</v>
      </c>
      <c r="CH45" s="323">
        <v>9</v>
      </c>
      <c r="CI45" s="323">
        <v>10</v>
      </c>
      <c r="CJ45" s="323">
        <v>8</v>
      </c>
      <c r="CK45" s="323">
        <v>4</v>
      </c>
      <c r="CL45" s="323">
        <v>1</v>
      </c>
      <c r="CM45" s="323">
        <v>0</v>
      </c>
      <c r="CN45" s="323">
        <v>0</v>
      </c>
      <c r="CO45" s="323">
        <v>36</v>
      </c>
      <c r="CP45" s="329" t="s">
        <v>934</v>
      </c>
      <c r="CQ45" s="330">
        <v>300</v>
      </c>
      <c r="CR45" s="330">
        <v>240</v>
      </c>
      <c r="CS45" s="330">
        <v>144</v>
      </c>
      <c r="CT45" s="330">
        <v>74</v>
      </c>
      <c r="CU45" s="330">
        <v>60</v>
      </c>
      <c r="CV45" s="330">
        <v>25</v>
      </c>
      <c r="CW45" s="330">
        <v>13</v>
      </c>
      <c r="CX45" s="330">
        <v>2</v>
      </c>
      <c r="CY45" s="328">
        <v>858</v>
      </c>
      <c r="CZ45" s="322" t="s">
        <v>934</v>
      </c>
      <c r="DA45" s="323">
        <v>0</v>
      </c>
      <c r="DB45" s="323">
        <v>0</v>
      </c>
      <c r="DC45" s="323">
        <v>0</v>
      </c>
      <c r="DD45" s="323">
        <v>0</v>
      </c>
      <c r="DE45" s="323">
        <v>0</v>
      </c>
      <c r="DF45" s="323">
        <v>0</v>
      </c>
      <c r="DG45" s="323">
        <v>0</v>
      </c>
      <c r="DH45" s="323">
        <v>0</v>
      </c>
      <c r="DI45" s="323">
        <v>0</v>
      </c>
      <c r="DJ45" s="337">
        <v>5.7</v>
      </c>
      <c r="DK45" s="644">
        <v>94270.1</v>
      </c>
      <c r="DL45" s="614">
        <v>25917</v>
      </c>
      <c r="DM45" s="614">
        <v>27662</v>
      </c>
      <c r="DN45" s="614">
        <v>32929</v>
      </c>
      <c r="DO45" s="614">
        <v>18869</v>
      </c>
      <c r="DP45" s="614">
        <v>10743</v>
      </c>
      <c r="DQ45" s="614">
        <v>4339</v>
      </c>
      <c r="DR45" s="614">
        <v>2622</v>
      </c>
      <c r="DS45" s="615">
        <v>171</v>
      </c>
      <c r="DT45" s="607">
        <f t="shared" si="0"/>
        <v>123252</v>
      </c>
      <c r="DU45" s="342"/>
      <c r="EC45" s="646"/>
      <c r="EF45" s="123"/>
      <c r="EG45" s="124"/>
    </row>
    <row r="46" spans="1:137" ht="15">
      <c r="A46" s="22">
        <v>38</v>
      </c>
      <c r="B46" s="23" t="s">
        <v>207</v>
      </c>
      <c r="C46" s="24" t="s">
        <v>208</v>
      </c>
      <c r="D46" s="613"/>
      <c r="E46" s="626">
        <v>42197</v>
      </c>
      <c r="F46" s="626">
        <v>67054</v>
      </c>
      <c r="G46" s="626">
        <v>35755</v>
      </c>
      <c r="H46" s="626">
        <v>16175</v>
      </c>
      <c r="I46" s="626">
        <v>9125</v>
      </c>
      <c r="J46" s="626">
        <v>4613</v>
      </c>
      <c r="K46" s="626">
        <v>2826</v>
      </c>
      <c r="L46" s="626">
        <v>328</v>
      </c>
      <c r="M46" s="631">
        <v>178073</v>
      </c>
      <c r="N46" s="322"/>
      <c r="O46" s="323">
        <v>1836</v>
      </c>
      <c r="P46" s="323">
        <v>2397</v>
      </c>
      <c r="Q46" s="323">
        <v>1902</v>
      </c>
      <c r="R46" s="323">
        <v>1303</v>
      </c>
      <c r="S46" s="323">
        <v>991</v>
      </c>
      <c r="T46" s="323">
        <v>251</v>
      </c>
      <c r="U46" s="323">
        <v>70</v>
      </c>
      <c r="V46" s="323">
        <v>20</v>
      </c>
      <c r="W46" s="323">
        <v>8770</v>
      </c>
      <c r="X46" s="329" t="s">
        <v>934</v>
      </c>
      <c r="Y46" s="330">
        <v>0</v>
      </c>
      <c r="Z46" s="330">
        <v>0</v>
      </c>
      <c r="AA46" s="330">
        <v>0</v>
      </c>
      <c r="AB46" s="330">
        <v>0</v>
      </c>
      <c r="AC46" s="330">
        <v>0</v>
      </c>
      <c r="AD46" s="330">
        <v>0</v>
      </c>
      <c r="AE46" s="330">
        <v>0</v>
      </c>
      <c r="AF46" s="330">
        <v>0</v>
      </c>
      <c r="AG46" s="328">
        <v>0</v>
      </c>
      <c r="AH46" s="329" t="s">
        <v>934</v>
      </c>
      <c r="AI46" s="184">
        <v>40</v>
      </c>
      <c r="AJ46" s="184">
        <v>267</v>
      </c>
      <c r="AK46" s="184">
        <v>223</v>
      </c>
      <c r="AL46" s="184">
        <v>95</v>
      </c>
      <c r="AM46" s="184">
        <v>69</v>
      </c>
      <c r="AN46" s="184">
        <v>43</v>
      </c>
      <c r="AO46" s="184">
        <v>33</v>
      </c>
      <c r="AP46" s="184">
        <v>35</v>
      </c>
      <c r="AQ46" s="336">
        <v>805</v>
      </c>
      <c r="AR46" s="323">
        <v>12</v>
      </c>
      <c r="AS46" s="323">
        <v>21835</v>
      </c>
      <c r="AT46" s="323">
        <v>23290</v>
      </c>
      <c r="AU46" s="323">
        <v>9862</v>
      </c>
      <c r="AV46" s="323">
        <v>3855</v>
      </c>
      <c r="AW46" s="323">
        <v>1788</v>
      </c>
      <c r="AX46" s="323">
        <v>716</v>
      </c>
      <c r="AY46" s="323">
        <v>338</v>
      </c>
      <c r="AZ46" s="323">
        <v>19</v>
      </c>
      <c r="BA46" s="323">
        <v>61715</v>
      </c>
      <c r="BB46" s="331">
        <v>0</v>
      </c>
      <c r="BC46" s="330">
        <v>249</v>
      </c>
      <c r="BD46" s="330">
        <v>582</v>
      </c>
      <c r="BE46" s="330">
        <v>297</v>
      </c>
      <c r="BF46" s="330">
        <v>106</v>
      </c>
      <c r="BG46" s="330">
        <v>72</v>
      </c>
      <c r="BH46" s="330">
        <v>21</v>
      </c>
      <c r="BI46" s="330">
        <v>17</v>
      </c>
      <c r="BJ46" s="330">
        <v>3</v>
      </c>
      <c r="BK46" s="328">
        <v>1347</v>
      </c>
      <c r="BL46" s="323">
        <v>0</v>
      </c>
      <c r="BM46" s="323">
        <v>33</v>
      </c>
      <c r="BN46" s="323">
        <v>55</v>
      </c>
      <c r="BO46" s="323">
        <v>54</v>
      </c>
      <c r="BP46" s="323">
        <v>34</v>
      </c>
      <c r="BQ46" s="323">
        <v>42</v>
      </c>
      <c r="BR46" s="323">
        <v>40</v>
      </c>
      <c r="BS46" s="323">
        <v>68</v>
      </c>
      <c r="BT46" s="323">
        <v>19</v>
      </c>
      <c r="BU46" s="323">
        <v>345</v>
      </c>
      <c r="BV46" s="329" t="s">
        <v>934</v>
      </c>
      <c r="BW46" s="330">
        <v>460</v>
      </c>
      <c r="BX46" s="330">
        <v>485</v>
      </c>
      <c r="BY46" s="330">
        <v>336</v>
      </c>
      <c r="BZ46" s="330">
        <v>208</v>
      </c>
      <c r="CA46" s="330">
        <v>129</v>
      </c>
      <c r="CB46" s="330">
        <v>53</v>
      </c>
      <c r="CC46" s="330">
        <v>19</v>
      </c>
      <c r="CD46" s="330">
        <v>6</v>
      </c>
      <c r="CE46" s="328">
        <v>1696</v>
      </c>
      <c r="CF46" s="322" t="s">
        <v>934</v>
      </c>
      <c r="CG46" s="323">
        <v>897</v>
      </c>
      <c r="CH46" s="323">
        <v>574</v>
      </c>
      <c r="CI46" s="323">
        <v>291</v>
      </c>
      <c r="CJ46" s="323">
        <v>125</v>
      </c>
      <c r="CK46" s="323">
        <v>69</v>
      </c>
      <c r="CL46" s="323">
        <v>23</v>
      </c>
      <c r="CM46" s="323">
        <v>16</v>
      </c>
      <c r="CN46" s="323">
        <v>5</v>
      </c>
      <c r="CO46" s="323">
        <v>2000</v>
      </c>
      <c r="CP46" s="329" t="s">
        <v>934</v>
      </c>
      <c r="CQ46" s="330">
        <v>0</v>
      </c>
      <c r="CR46" s="330">
        <v>0</v>
      </c>
      <c r="CS46" s="330">
        <v>0</v>
      </c>
      <c r="CT46" s="330">
        <v>0</v>
      </c>
      <c r="CU46" s="330">
        <v>0</v>
      </c>
      <c r="CV46" s="330">
        <v>0</v>
      </c>
      <c r="CW46" s="330">
        <v>0</v>
      </c>
      <c r="CX46" s="330">
        <v>0</v>
      </c>
      <c r="CY46" s="328">
        <v>0</v>
      </c>
      <c r="CZ46" s="322" t="s">
        <v>934</v>
      </c>
      <c r="DA46" s="323">
        <v>0</v>
      </c>
      <c r="DB46" s="323">
        <v>0</v>
      </c>
      <c r="DC46" s="323">
        <v>0</v>
      </c>
      <c r="DD46" s="323">
        <v>0</v>
      </c>
      <c r="DE46" s="323">
        <v>0</v>
      </c>
      <c r="DF46" s="323">
        <v>0</v>
      </c>
      <c r="DG46" s="323">
        <v>0</v>
      </c>
      <c r="DH46" s="323">
        <v>0</v>
      </c>
      <c r="DI46" s="323">
        <v>0</v>
      </c>
      <c r="DJ46" s="337">
        <v>15</v>
      </c>
      <c r="DK46" s="644">
        <v>129218.8</v>
      </c>
      <c r="DL46" s="614">
        <v>43142</v>
      </c>
      <c r="DM46" s="614">
        <v>67724</v>
      </c>
      <c r="DN46" s="614">
        <v>36042</v>
      </c>
      <c r="DO46" s="614">
        <v>16252</v>
      </c>
      <c r="DP46" s="614">
        <v>9142</v>
      </c>
      <c r="DQ46" s="614">
        <v>4626</v>
      </c>
      <c r="DR46" s="614">
        <v>2819</v>
      </c>
      <c r="DS46" s="615">
        <v>325</v>
      </c>
      <c r="DT46" s="607">
        <f t="shared" si="0"/>
        <v>180072</v>
      </c>
      <c r="DU46" s="342"/>
      <c r="EC46" s="646"/>
      <c r="EF46" s="123"/>
      <c r="EG46" s="124"/>
    </row>
    <row r="47" spans="1:137" ht="15">
      <c r="A47" s="22">
        <v>39</v>
      </c>
      <c r="B47" s="23" t="s">
        <v>209</v>
      </c>
      <c r="C47" s="24" t="s">
        <v>210</v>
      </c>
      <c r="D47" s="613"/>
      <c r="E47" s="628">
        <v>4165</v>
      </c>
      <c r="F47" s="628">
        <v>13890</v>
      </c>
      <c r="G47" s="628">
        <v>19691</v>
      </c>
      <c r="H47" s="628">
        <v>8753</v>
      </c>
      <c r="I47" s="628">
        <v>4312</v>
      </c>
      <c r="J47" s="628">
        <v>1874</v>
      </c>
      <c r="K47" s="628">
        <v>741</v>
      </c>
      <c r="L47" s="628">
        <v>87</v>
      </c>
      <c r="M47" s="627">
        <v>53513</v>
      </c>
      <c r="N47" s="322"/>
      <c r="O47" s="323">
        <v>240</v>
      </c>
      <c r="P47" s="323">
        <v>299</v>
      </c>
      <c r="Q47" s="323">
        <v>408</v>
      </c>
      <c r="R47" s="323">
        <v>158</v>
      </c>
      <c r="S47" s="323">
        <v>66</v>
      </c>
      <c r="T47" s="323">
        <v>26</v>
      </c>
      <c r="U47" s="323">
        <v>14</v>
      </c>
      <c r="V47" s="323">
        <v>6</v>
      </c>
      <c r="W47" s="323">
        <v>1217</v>
      </c>
      <c r="X47" s="329" t="s">
        <v>934</v>
      </c>
      <c r="Y47" s="330">
        <v>1</v>
      </c>
      <c r="Z47" s="330">
        <v>1</v>
      </c>
      <c r="AA47" s="330">
        <v>0</v>
      </c>
      <c r="AB47" s="330">
        <v>1</v>
      </c>
      <c r="AC47" s="330">
        <v>1</v>
      </c>
      <c r="AD47" s="330">
        <v>0</v>
      </c>
      <c r="AE47" s="330">
        <v>0</v>
      </c>
      <c r="AF47" s="330">
        <v>0</v>
      </c>
      <c r="AG47" s="328">
        <v>4</v>
      </c>
      <c r="AH47" s="329" t="s">
        <v>934</v>
      </c>
      <c r="AI47" s="184">
        <v>15</v>
      </c>
      <c r="AJ47" s="184">
        <v>55</v>
      </c>
      <c r="AK47" s="184">
        <v>116</v>
      </c>
      <c r="AL47" s="184">
        <v>61</v>
      </c>
      <c r="AM47" s="184">
        <v>47</v>
      </c>
      <c r="AN47" s="184">
        <v>24</v>
      </c>
      <c r="AO47" s="184">
        <v>18</v>
      </c>
      <c r="AP47" s="184">
        <v>6</v>
      </c>
      <c r="AQ47" s="336">
        <v>342</v>
      </c>
      <c r="AR47" s="323">
        <v>4</v>
      </c>
      <c r="AS47" s="323">
        <v>2462</v>
      </c>
      <c r="AT47" s="323">
        <v>5101</v>
      </c>
      <c r="AU47" s="323">
        <v>5173</v>
      </c>
      <c r="AV47" s="323">
        <v>1576</v>
      </c>
      <c r="AW47" s="323">
        <v>594</v>
      </c>
      <c r="AX47" s="323">
        <v>241</v>
      </c>
      <c r="AY47" s="323">
        <v>85</v>
      </c>
      <c r="AZ47" s="323">
        <v>13</v>
      </c>
      <c r="BA47" s="323">
        <v>15249</v>
      </c>
      <c r="BB47" s="331">
        <v>2</v>
      </c>
      <c r="BC47" s="330">
        <v>19</v>
      </c>
      <c r="BD47" s="330">
        <v>92</v>
      </c>
      <c r="BE47" s="330">
        <v>129</v>
      </c>
      <c r="BF47" s="330">
        <v>53</v>
      </c>
      <c r="BG47" s="330">
        <v>33</v>
      </c>
      <c r="BH47" s="330">
        <v>9</v>
      </c>
      <c r="BI47" s="330">
        <v>2</v>
      </c>
      <c r="BJ47" s="330">
        <v>0</v>
      </c>
      <c r="BK47" s="328">
        <v>339</v>
      </c>
      <c r="BL47" s="323">
        <v>0</v>
      </c>
      <c r="BM47" s="323">
        <v>1</v>
      </c>
      <c r="BN47" s="323">
        <v>5</v>
      </c>
      <c r="BO47" s="323">
        <v>15</v>
      </c>
      <c r="BP47" s="323">
        <v>17</v>
      </c>
      <c r="BQ47" s="323">
        <v>17</v>
      </c>
      <c r="BR47" s="323">
        <v>19</v>
      </c>
      <c r="BS47" s="323">
        <v>11</v>
      </c>
      <c r="BT47" s="323">
        <v>6</v>
      </c>
      <c r="BU47" s="323">
        <v>91</v>
      </c>
      <c r="BV47" s="329" t="s">
        <v>934</v>
      </c>
      <c r="BW47" s="330">
        <v>46</v>
      </c>
      <c r="BX47" s="330">
        <v>84</v>
      </c>
      <c r="BY47" s="330">
        <v>106</v>
      </c>
      <c r="BZ47" s="330">
        <v>53</v>
      </c>
      <c r="CA47" s="330">
        <v>37</v>
      </c>
      <c r="CB47" s="330">
        <v>23</v>
      </c>
      <c r="CC47" s="330">
        <v>28</v>
      </c>
      <c r="CD47" s="330">
        <v>2</v>
      </c>
      <c r="CE47" s="328">
        <v>379</v>
      </c>
      <c r="CF47" s="322" t="s">
        <v>934</v>
      </c>
      <c r="CG47" s="323">
        <v>64</v>
      </c>
      <c r="CH47" s="323">
        <v>105</v>
      </c>
      <c r="CI47" s="323">
        <v>107</v>
      </c>
      <c r="CJ47" s="323">
        <v>45</v>
      </c>
      <c r="CK47" s="323">
        <v>26</v>
      </c>
      <c r="CL47" s="323">
        <v>22</v>
      </c>
      <c r="CM47" s="323">
        <v>10</v>
      </c>
      <c r="CN47" s="323">
        <v>1</v>
      </c>
      <c r="CO47" s="323">
        <v>380</v>
      </c>
      <c r="CP47" s="329" t="s">
        <v>934</v>
      </c>
      <c r="CQ47" s="330">
        <v>0</v>
      </c>
      <c r="CR47" s="330">
        <v>0</v>
      </c>
      <c r="CS47" s="330">
        <v>0</v>
      </c>
      <c r="CT47" s="330">
        <v>0</v>
      </c>
      <c r="CU47" s="330">
        <v>0</v>
      </c>
      <c r="CV47" s="330">
        <v>0</v>
      </c>
      <c r="CW47" s="330">
        <v>0</v>
      </c>
      <c r="CX47" s="330">
        <v>0</v>
      </c>
      <c r="CY47" s="328">
        <v>0</v>
      </c>
      <c r="CZ47" s="322" t="s">
        <v>934</v>
      </c>
      <c r="DA47" s="323">
        <v>0</v>
      </c>
      <c r="DB47" s="323">
        <v>0</v>
      </c>
      <c r="DC47" s="323">
        <v>0</v>
      </c>
      <c r="DD47" s="323">
        <v>0</v>
      </c>
      <c r="DE47" s="323">
        <v>0</v>
      </c>
      <c r="DF47" s="323">
        <v>0</v>
      </c>
      <c r="DG47" s="323">
        <v>0</v>
      </c>
      <c r="DH47" s="323">
        <v>0</v>
      </c>
      <c r="DI47" s="323">
        <v>0</v>
      </c>
      <c r="DJ47" s="337">
        <v>77</v>
      </c>
      <c r="DK47" s="644">
        <v>44454.6</v>
      </c>
      <c r="DL47" s="614">
        <v>4195</v>
      </c>
      <c r="DM47" s="614">
        <v>14002</v>
      </c>
      <c r="DN47" s="614">
        <v>19739</v>
      </c>
      <c r="DO47" s="614">
        <v>8821</v>
      </c>
      <c r="DP47" s="614">
        <v>4368</v>
      </c>
      <c r="DQ47" s="614">
        <v>1905</v>
      </c>
      <c r="DR47" s="614">
        <v>740</v>
      </c>
      <c r="DS47" s="615">
        <v>88</v>
      </c>
      <c r="DT47" s="607">
        <f t="shared" si="0"/>
        <v>53858</v>
      </c>
      <c r="DU47" s="342"/>
      <c r="EC47" s="646"/>
      <c r="EF47" s="126"/>
      <c r="EG47" s="124"/>
    </row>
    <row r="48" spans="1:137" ht="15">
      <c r="A48" s="22">
        <v>40</v>
      </c>
      <c r="B48" s="23" t="s">
        <v>211</v>
      </c>
      <c r="C48" s="24" t="s">
        <v>212</v>
      </c>
      <c r="D48" s="613"/>
      <c r="E48" s="629">
        <v>1737</v>
      </c>
      <c r="F48" s="629">
        <v>9430</v>
      </c>
      <c r="G48" s="629">
        <v>26890</v>
      </c>
      <c r="H48" s="629">
        <v>34295</v>
      </c>
      <c r="I48" s="629">
        <v>28354</v>
      </c>
      <c r="J48" s="629">
        <v>17111</v>
      </c>
      <c r="K48" s="629">
        <v>13252</v>
      </c>
      <c r="L48" s="629">
        <v>1097</v>
      </c>
      <c r="M48" s="633">
        <v>132166</v>
      </c>
      <c r="N48" s="322"/>
      <c r="O48" s="323">
        <v>92</v>
      </c>
      <c r="P48" s="323">
        <v>427</v>
      </c>
      <c r="Q48" s="323">
        <v>953</v>
      </c>
      <c r="R48" s="323">
        <v>757</v>
      </c>
      <c r="S48" s="323">
        <v>446</v>
      </c>
      <c r="T48" s="323">
        <v>228</v>
      </c>
      <c r="U48" s="323">
        <v>221</v>
      </c>
      <c r="V48" s="323">
        <v>17</v>
      </c>
      <c r="W48" s="323">
        <v>3141</v>
      </c>
      <c r="X48" s="329" t="s">
        <v>934</v>
      </c>
      <c r="Y48" s="330">
        <v>0</v>
      </c>
      <c r="Z48" s="330">
        <v>0</v>
      </c>
      <c r="AA48" s="330">
        <v>0</v>
      </c>
      <c r="AB48" s="330">
        <v>1</v>
      </c>
      <c r="AC48" s="330">
        <v>1</v>
      </c>
      <c r="AD48" s="330">
        <v>0</v>
      </c>
      <c r="AE48" s="330">
        <v>1</v>
      </c>
      <c r="AF48" s="330">
        <v>0</v>
      </c>
      <c r="AG48" s="328">
        <v>3</v>
      </c>
      <c r="AH48" s="329" t="s">
        <v>934</v>
      </c>
      <c r="AI48" s="184">
        <v>1</v>
      </c>
      <c r="AJ48" s="184">
        <v>9</v>
      </c>
      <c r="AK48" s="184">
        <v>45</v>
      </c>
      <c r="AL48" s="184">
        <v>136</v>
      </c>
      <c r="AM48" s="184">
        <v>153</v>
      </c>
      <c r="AN48" s="184">
        <v>123</v>
      </c>
      <c r="AO48" s="184">
        <v>81</v>
      </c>
      <c r="AP48" s="184">
        <v>17</v>
      </c>
      <c r="AQ48" s="336">
        <v>565</v>
      </c>
      <c r="AR48" s="323">
        <v>0</v>
      </c>
      <c r="AS48" s="323">
        <v>1140</v>
      </c>
      <c r="AT48" s="323">
        <v>6340</v>
      </c>
      <c r="AU48" s="323">
        <v>14387</v>
      </c>
      <c r="AV48" s="323">
        <v>12627</v>
      </c>
      <c r="AW48" s="323">
        <v>7261</v>
      </c>
      <c r="AX48" s="323">
        <v>3350</v>
      </c>
      <c r="AY48" s="323">
        <v>1948</v>
      </c>
      <c r="AZ48" s="323">
        <v>104</v>
      </c>
      <c r="BA48" s="323">
        <v>47157</v>
      </c>
      <c r="BB48" s="331">
        <v>0</v>
      </c>
      <c r="BC48" s="330">
        <v>4</v>
      </c>
      <c r="BD48" s="330">
        <v>30</v>
      </c>
      <c r="BE48" s="330">
        <v>147</v>
      </c>
      <c r="BF48" s="330">
        <v>171</v>
      </c>
      <c r="BG48" s="330">
        <v>169</v>
      </c>
      <c r="BH48" s="330">
        <v>76</v>
      </c>
      <c r="BI48" s="330">
        <v>57</v>
      </c>
      <c r="BJ48" s="330">
        <v>3</v>
      </c>
      <c r="BK48" s="328">
        <v>657</v>
      </c>
      <c r="BL48" s="323">
        <v>0</v>
      </c>
      <c r="BM48" s="323">
        <v>2</v>
      </c>
      <c r="BN48" s="323">
        <v>14</v>
      </c>
      <c r="BO48" s="323">
        <v>16</v>
      </c>
      <c r="BP48" s="323">
        <v>27</v>
      </c>
      <c r="BQ48" s="323">
        <v>23</v>
      </c>
      <c r="BR48" s="323">
        <v>34</v>
      </c>
      <c r="BS48" s="323">
        <v>46</v>
      </c>
      <c r="BT48" s="323">
        <v>11</v>
      </c>
      <c r="BU48" s="323">
        <v>173</v>
      </c>
      <c r="BV48" s="329" t="s">
        <v>934</v>
      </c>
      <c r="BW48" s="330">
        <v>19</v>
      </c>
      <c r="BX48" s="330">
        <v>86</v>
      </c>
      <c r="BY48" s="330">
        <v>206</v>
      </c>
      <c r="BZ48" s="330">
        <v>153</v>
      </c>
      <c r="CA48" s="330">
        <v>92</v>
      </c>
      <c r="CB48" s="330">
        <v>54</v>
      </c>
      <c r="CC48" s="330">
        <v>46</v>
      </c>
      <c r="CD48" s="330">
        <v>5</v>
      </c>
      <c r="CE48" s="328">
        <v>661</v>
      </c>
      <c r="CF48" s="322" t="s">
        <v>934</v>
      </c>
      <c r="CG48" s="323">
        <v>0</v>
      </c>
      <c r="CH48" s="323">
        <v>0</v>
      </c>
      <c r="CI48" s="323">
        <v>0</v>
      </c>
      <c r="CJ48" s="323">
        <v>0</v>
      </c>
      <c r="CK48" s="323">
        <v>0</v>
      </c>
      <c r="CL48" s="323">
        <v>0</v>
      </c>
      <c r="CM48" s="323">
        <v>0</v>
      </c>
      <c r="CN48" s="323">
        <v>0</v>
      </c>
      <c r="CO48" s="323">
        <v>0</v>
      </c>
      <c r="CP48" s="329" t="s">
        <v>934</v>
      </c>
      <c r="CQ48" s="330">
        <v>57</v>
      </c>
      <c r="CR48" s="330">
        <v>287</v>
      </c>
      <c r="CS48" s="330">
        <v>370</v>
      </c>
      <c r="CT48" s="330">
        <v>252</v>
      </c>
      <c r="CU48" s="330">
        <v>146</v>
      </c>
      <c r="CV48" s="330">
        <v>85</v>
      </c>
      <c r="CW48" s="330">
        <v>47</v>
      </c>
      <c r="CX48" s="330">
        <v>9</v>
      </c>
      <c r="CY48" s="328">
        <v>1253</v>
      </c>
      <c r="CZ48" s="322" t="s">
        <v>934</v>
      </c>
      <c r="DA48" s="323">
        <v>0</v>
      </c>
      <c r="DB48" s="323">
        <v>0</v>
      </c>
      <c r="DC48" s="323">
        <v>0</v>
      </c>
      <c r="DD48" s="323">
        <v>0</v>
      </c>
      <c r="DE48" s="323">
        <v>0</v>
      </c>
      <c r="DF48" s="323">
        <v>0</v>
      </c>
      <c r="DG48" s="323">
        <v>0</v>
      </c>
      <c r="DH48" s="323">
        <v>0</v>
      </c>
      <c r="DI48" s="323">
        <v>0</v>
      </c>
      <c r="DJ48" s="337">
        <v>87.4</v>
      </c>
      <c r="DK48" s="644">
        <v>134328.1</v>
      </c>
      <c r="DL48" s="616">
        <v>1744</v>
      </c>
      <c r="DM48" s="616">
        <v>9465</v>
      </c>
      <c r="DN48" s="616">
        <v>27127</v>
      </c>
      <c r="DO48" s="616">
        <v>34495</v>
      </c>
      <c r="DP48" s="616">
        <v>28474</v>
      </c>
      <c r="DQ48" s="616">
        <v>17230</v>
      </c>
      <c r="DR48" s="616">
        <v>13221</v>
      </c>
      <c r="DS48" s="617">
        <v>1126</v>
      </c>
      <c r="DT48" s="608">
        <f t="shared" si="0"/>
        <v>132882</v>
      </c>
      <c r="DU48" s="342"/>
      <c r="EC48" s="646"/>
      <c r="EF48" s="125"/>
      <c r="EG48" s="128"/>
    </row>
    <row r="49" spans="1:137" ht="15">
      <c r="A49" s="22">
        <v>41</v>
      </c>
      <c r="B49" s="23" t="s">
        <v>213</v>
      </c>
      <c r="C49" s="24" t="s">
        <v>214</v>
      </c>
      <c r="D49" s="613"/>
      <c r="E49" s="636">
        <v>3194</v>
      </c>
      <c r="F49" s="636">
        <v>6898</v>
      </c>
      <c r="G49" s="636">
        <v>8269</v>
      </c>
      <c r="H49" s="636">
        <v>7402</v>
      </c>
      <c r="I49" s="636">
        <v>6444</v>
      </c>
      <c r="J49" s="636">
        <v>3313</v>
      </c>
      <c r="K49" s="636">
        <v>2550</v>
      </c>
      <c r="L49" s="636">
        <v>303</v>
      </c>
      <c r="M49" s="627">
        <v>38373</v>
      </c>
      <c r="N49" s="322"/>
      <c r="O49" s="323">
        <v>136</v>
      </c>
      <c r="P49" s="323">
        <v>152</v>
      </c>
      <c r="Q49" s="323">
        <v>143</v>
      </c>
      <c r="R49" s="323">
        <v>131</v>
      </c>
      <c r="S49" s="323">
        <v>81</v>
      </c>
      <c r="T49" s="323">
        <v>41</v>
      </c>
      <c r="U49" s="323">
        <v>25</v>
      </c>
      <c r="V49" s="323">
        <v>7</v>
      </c>
      <c r="W49" s="323">
        <v>716</v>
      </c>
      <c r="X49" s="329" t="s">
        <v>934</v>
      </c>
      <c r="Y49" s="330">
        <v>0</v>
      </c>
      <c r="Z49" s="330">
        <v>0</v>
      </c>
      <c r="AA49" s="330">
        <v>0</v>
      </c>
      <c r="AB49" s="330">
        <v>0</v>
      </c>
      <c r="AC49" s="330">
        <v>0</v>
      </c>
      <c r="AD49" s="330">
        <v>0</v>
      </c>
      <c r="AE49" s="330">
        <v>0</v>
      </c>
      <c r="AF49" s="330">
        <v>0</v>
      </c>
      <c r="AG49" s="328">
        <v>0</v>
      </c>
      <c r="AH49" s="329" t="s">
        <v>934</v>
      </c>
      <c r="AI49" s="184">
        <v>3</v>
      </c>
      <c r="AJ49" s="184">
        <v>36</v>
      </c>
      <c r="AK49" s="184">
        <v>54</v>
      </c>
      <c r="AL49" s="184">
        <v>58</v>
      </c>
      <c r="AM49" s="184">
        <v>60</v>
      </c>
      <c r="AN49" s="184">
        <v>31</v>
      </c>
      <c r="AO49" s="184">
        <v>26</v>
      </c>
      <c r="AP49" s="184">
        <v>26</v>
      </c>
      <c r="AQ49" s="336">
        <v>294</v>
      </c>
      <c r="AR49" s="323">
        <v>2</v>
      </c>
      <c r="AS49" s="323">
        <v>1998</v>
      </c>
      <c r="AT49" s="323">
        <v>2744</v>
      </c>
      <c r="AU49" s="323">
        <v>2565</v>
      </c>
      <c r="AV49" s="323">
        <v>1841</v>
      </c>
      <c r="AW49" s="323">
        <v>1174</v>
      </c>
      <c r="AX49" s="323">
        <v>531</v>
      </c>
      <c r="AY49" s="323">
        <v>325</v>
      </c>
      <c r="AZ49" s="323">
        <v>23</v>
      </c>
      <c r="BA49" s="323">
        <v>11203</v>
      </c>
      <c r="BB49" s="331">
        <v>0</v>
      </c>
      <c r="BC49" s="330">
        <v>14</v>
      </c>
      <c r="BD49" s="330">
        <v>65</v>
      </c>
      <c r="BE49" s="330">
        <v>64</v>
      </c>
      <c r="BF49" s="330">
        <v>46</v>
      </c>
      <c r="BG49" s="330">
        <v>37</v>
      </c>
      <c r="BH49" s="330">
        <v>19</v>
      </c>
      <c r="BI49" s="330">
        <v>9</v>
      </c>
      <c r="BJ49" s="330">
        <v>1</v>
      </c>
      <c r="BK49" s="328">
        <v>255</v>
      </c>
      <c r="BL49" s="323">
        <v>0</v>
      </c>
      <c r="BM49" s="323">
        <v>1</v>
      </c>
      <c r="BN49" s="323">
        <v>2</v>
      </c>
      <c r="BO49" s="323">
        <v>0</v>
      </c>
      <c r="BP49" s="323">
        <v>2</v>
      </c>
      <c r="BQ49" s="323">
        <v>2</v>
      </c>
      <c r="BR49" s="323">
        <v>5</v>
      </c>
      <c r="BS49" s="323">
        <v>25</v>
      </c>
      <c r="BT49" s="323">
        <v>3</v>
      </c>
      <c r="BU49" s="323">
        <v>40</v>
      </c>
      <c r="BV49" s="329" t="s">
        <v>934</v>
      </c>
      <c r="BW49" s="330">
        <v>13</v>
      </c>
      <c r="BX49" s="330">
        <v>17</v>
      </c>
      <c r="BY49" s="330">
        <v>17</v>
      </c>
      <c r="BZ49" s="330">
        <v>5</v>
      </c>
      <c r="CA49" s="330">
        <v>11</v>
      </c>
      <c r="CB49" s="330">
        <v>9</v>
      </c>
      <c r="CC49" s="330">
        <v>2</v>
      </c>
      <c r="CD49" s="330">
        <v>4</v>
      </c>
      <c r="CE49" s="328">
        <v>78</v>
      </c>
      <c r="CF49" s="322" t="s">
        <v>934</v>
      </c>
      <c r="CG49" s="323">
        <v>0</v>
      </c>
      <c r="CH49" s="323">
        <v>0</v>
      </c>
      <c r="CI49" s="323">
        <v>0</v>
      </c>
      <c r="CJ49" s="323">
        <v>0</v>
      </c>
      <c r="CK49" s="323">
        <v>0</v>
      </c>
      <c r="CL49" s="323">
        <v>0</v>
      </c>
      <c r="CM49" s="323">
        <v>0</v>
      </c>
      <c r="CN49" s="323">
        <v>0</v>
      </c>
      <c r="CO49" s="323">
        <v>0</v>
      </c>
      <c r="CP49" s="329" t="s">
        <v>934</v>
      </c>
      <c r="CQ49" s="330">
        <v>69</v>
      </c>
      <c r="CR49" s="330">
        <v>65</v>
      </c>
      <c r="CS49" s="330">
        <v>69</v>
      </c>
      <c r="CT49" s="330">
        <v>51</v>
      </c>
      <c r="CU49" s="330">
        <v>41</v>
      </c>
      <c r="CV49" s="330">
        <v>28</v>
      </c>
      <c r="CW49" s="330">
        <v>32</v>
      </c>
      <c r="CX49" s="330">
        <v>8</v>
      </c>
      <c r="CY49" s="328">
        <v>363</v>
      </c>
      <c r="CZ49" s="322" t="s">
        <v>934</v>
      </c>
      <c r="DA49" s="323">
        <v>0</v>
      </c>
      <c r="DB49" s="323">
        <v>0</v>
      </c>
      <c r="DC49" s="323">
        <v>0</v>
      </c>
      <c r="DD49" s="323">
        <v>0</v>
      </c>
      <c r="DE49" s="323">
        <v>0</v>
      </c>
      <c r="DF49" s="323">
        <v>0</v>
      </c>
      <c r="DG49" s="323">
        <v>0</v>
      </c>
      <c r="DH49" s="323">
        <v>0</v>
      </c>
      <c r="DI49" s="323">
        <v>0</v>
      </c>
      <c r="DJ49" s="337">
        <v>0</v>
      </c>
      <c r="DK49" s="644">
        <v>36303.7</v>
      </c>
      <c r="DL49" s="616">
        <v>3205</v>
      </c>
      <c r="DM49" s="616">
        <v>7000</v>
      </c>
      <c r="DN49" s="616">
        <v>8308</v>
      </c>
      <c r="DO49" s="616">
        <v>7461</v>
      </c>
      <c r="DP49" s="616">
        <v>6503</v>
      </c>
      <c r="DQ49" s="616">
        <v>3280</v>
      </c>
      <c r="DR49" s="616">
        <v>2561</v>
      </c>
      <c r="DS49" s="617">
        <v>306</v>
      </c>
      <c r="DT49" s="607">
        <f t="shared" si="0"/>
        <v>38624</v>
      </c>
      <c r="DU49" s="342"/>
      <c r="EC49" s="646"/>
      <c r="EF49" s="125"/>
      <c r="EG49" s="124"/>
    </row>
    <row r="50" spans="1:137" ht="15">
      <c r="A50" s="22">
        <v>42</v>
      </c>
      <c r="B50" s="23" t="s">
        <v>215</v>
      </c>
      <c r="C50" s="24" t="s">
        <v>216</v>
      </c>
      <c r="D50" s="613"/>
      <c r="E50" s="629">
        <v>438</v>
      </c>
      <c r="F50" s="629">
        <v>3336</v>
      </c>
      <c r="G50" s="629">
        <v>8359</v>
      </c>
      <c r="H50" s="629">
        <v>13778</v>
      </c>
      <c r="I50" s="629">
        <v>7119</v>
      </c>
      <c r="J50" s="629">
        <v>2695</v>
      </c>
      <c r="K50" s="629">
        <v>1995</v>
      </c>
      <c r="L50" s="629">
        <v>162</v>
      </c>
      <c r="M50" s="627">
        <v>37882</v>
      </c>
      <c r="N50" s="322"/>
      <c r="O50" s="323">
        <v>21</v>
      </c>
      <c r="P50" s="323">
        <v>129</v>
      </c>
      <c r="Q50" s="323">
        <v>234</v>
      </c>
      <c r="R50" s="323">
        <v>162</v>
      </c>
      <c r="S50" s="323">
        <v>64</v>
      </c>
      <c r="T50" s="323">
        <v>27</v>
      </c>
      <c r="U50" s="323">
        <v>20</v>
      </c>
      <c r="V50" s="323">
        <v>2</v>
      </c>
      <c r="W50" s="323">
        <v>659</v>
      </c>
      <c r="X50" s="329" t="s">
        <v>934</v>
      </c>
      <c r="Y50" s="330">
        <v>0</v>
      </c>
      <c r="Z50" s="330">
        <v>0</v>
      </c>
      <c r="AA50" s="330">
        <v>0</v>
      </c>
      <c r="AB50" s="330">
        <v>0</v>
      </c>
      <c r="AC50" s="330">
        <v>0</v>
      </c>
      <c r="AD50" s="330">
        <v>0</v>
      </c>
      <c r="AE50" s="330">
        <v>0</v>
      </c>
      <c r="AF50" s="330">
        <v>0</v>
      </c>
      <c r="AG50" s="328">
        <v>0</v>
      </c>
      <c r="AH50" s="329" t="s">
        <v>934</v>
      </c>
      <c r="AI50" s="184">
        <v>1</v>
      </c>
      <c r="AJ50" s="184">
        <v>7</v>
      </c>
      <c r="AK50" s="184">
        <v>29</v>
      </c>
      <c r="AL50" s="184">
        <v>85</v>
      </c>
      <c r="AM50" s="184">
        <v>62</v>
      </c>
      <c r="AN50" s="184">
        <v>17</v>
      </c>
      <c r="AO50" s="184">
        <v>18</v>
      </c>
      <c r="AP50" s="184">
        <v>5</v>
      </c>
      <c r="AQ50" s="336">
        <v>224</v>
      </c>
      <c r="AR50" s="323">
        <v>1</v>
      </c>
      <c r="AS50" s="323">
        <v>252</v>
      </c>
      <c r="AT50" s="323">
        <v>1994</v>
      </c>
      <c r="AU50" s="323">
        <v>3798</v>
      </c>
      <c r="AV50" s="323">
        <v>3666</v>
      </c>
      <c r="AW50" s="323">
        <v>1356</v>
      </c>
      <c r="AX50" s="323">
        <v>362</v>
      </c>
      <c r="AY50" s="323">
        <v>209</v>
      </c>
      <c r="AZ50" s="323">
        <v>13</v>
      </c>
      <c r="BA50" s="323">
        <v>11651</v>
      </c>
      <c r="BB50" s="331">
        <v>0</v>
      </c>
      <c r="BC50" s="330">
        <v>0</v>
      </c>
      <c r="BD50" s="330">
        <v>14</v>
      </c>
      <c r="BE50" s="330">
        <v>66</v>
      </c>
      <c r="BF50" s="330">
        <v>103</v>
      </c>
      <c r="BG50" s="330">
        <v>46</v>
      </c>
      <c r="BH50" s="330">
        <v>16</v>
      </c>
      <c r="BI50" s="330">
        <v>7</v>
      </c>
      <c r="BJ50" s="330">
        <v>1</v>
      </c>
      <c r="BK50" s="328">
        <v>253</v>
      </c>
      <c r="BL50" s="323">
        <v>0</v>
      </c>
      <c r="BM50" s="323">
        <v>0</v>
      </c>
      <c r="BN50" s="323">
        <v>11</v>
      </c>
      <c r="BO50" s="323">
        <v>2</v>
      </c>
      <c r="BP50" s="323">
        <v>7</v>
      </c>
      <c r="BQ50" s="323">
        <v>7</v>
      </c>
      <c r="BR50" s="323">
        <v>10</v>
      </c>
      <c r="BS50" s="323">
        <v>11</v>
      </c>
      <c r="BT50" s="323">
        <v>1</v>
      </c>
      <c r="BU50" s="323">
        <v>49</v>
      </c>
      <c r="BV50" s="329" t="s">
        <v>934</v>
      </c>
      <c r="BW50" s="330">
        <v>1</v>
      </c>
      <c r="BX50" s="330">
        <v>4</v>
      </c>
      <c r="BY50" s="330">
        <v>14</v>
      </c>
      <c r="BZ50" s="330">
        <v>8</v>
      </c>
      <c r="CA50" s="330">
        <v>5</v>
      </c>
      <c r="CB50" s="330">
        <v>4</v>
      </c>
      <c r="CC50" s="330">
        <v>4</v>
      </c>
      <c r="CD50" s="330">
        <v>0</v>
      </c>
      <c r="CE50" s="328">
        <v>40</v>
      </c>
      <c r="CF50" s="322" t="s">
        <v>934</v>
      </c>
      <c r="CG50" s="323">
        <v>0</v>
      </c>
      <c r="CH50" s="323">
        <v>0</v>
      </c>
      <c r="CI50" s="323">
        <v>0</v>
      </c>
      <c r="CJ50" s="323">
        <v>0</v>
      </c>
      <c r="CK50" s="323">
        <v>0</v>
      </c>
      <c r="CL50" s="323">
        <v>0</v>
      </c>
      <c r="CM50" s="323">
        <v>0</v>
      </c>
      <c r="CN50" s="323">
        <v>0</v>
      </c>
      <c r="CO50" s="323">
        <v>0</v>
      </c>
      <c r="CP50" s="329" t="s">
        <v>934</v>
      </c>
      <c r="CQ50" s="330">
        <v>6</v>
      </c>
      <c r="CR50" s="330">
        <v>49</v>
      </c>
      <c r="CS50" s="330">
        <v>53</v>
      </c>
      <c r="CT50" s="330">
        <v>46</v>
      </c>
      <c r="CU50" s="330">
        <v>19</v>
      </c>
      <c r="CV50" s="330">
        <v>12</v>
      </c>
      <c r="CW50" s="330">
        <v>4</v>
      </c>
      <c r="CX50" s="330">
        <v>0</v>
      </c>
      <c r="CY50" s="328">
        <v>189</v>
      </c>
      <c r="CZ50" s="322" t="s">
        <v>934</v>
      </c>
      <c r="DA50" s="323">
        <v>0</v>
      </c>
      <c r="DB50" s="323">
        <v>0</v>
      </c>
      <c r="DC50" s="323">
        <v>0</v>
      </c>
      <c r="DD50" s="323">
        <v>0</v>
      </c>
      <c r="DE50" s="323">
        <v>0</v>
      </c>
      <c r="DF50" s="323">
        <v>0</v>
      </c>
      <c r="DG50" s="323">
        <v>0</v>
      </c>
      <c r="DH50" s="323">
        <v>0</v>
      </c>
      <c r="DI50" s="323">
        <v>0</v>
      </c>
      <c r="DJ50" s="337">
        <v>0</v>
      </c>
      <c r="DK50" s="644">
        <v>36717</v>
      </c>
      <c r="DL50" s="616">
        <v>441</v>
      </c>
      <c r="DM50" s="616">
        <v>3340</v>
      </c>
      <c r="DN50" s="616">
        <v>8539</v>
      </c>
      <c r="DO50" s="616">
        <v>13846</v>
      </c>
      <c r="DP50" s="616">
        <v>7099</v>
      </c>
      <c r="DQ50" s="616">
        <v>2725</v>
      </c>
      <c r="DR50" s="616">
        <v>1999</v>
      </c>
      <c r="DS50" s="617">
        <v>166</v>
      </c>
      <c r="DT50" s="607">
        <f t="shared" si="0"/>
        <v>38155</v>
      </c>
      <c r="DU50" s="342"/>
      <c r="EC50" s="646"/>
      <c r="EF50" s="125"/>
      <c r="EG50" s="124"/>
    </row>
    <row r="51" spans="1:137" ht="15">
      <c r="A51" s="22">
        <v>43</v>
      </c>
      <c r="B51" s="23" t="s">
        <v>217</v>
      </c>
      <c r="C51" s="24" t="s">
        <v>218</v>
      </c>
      <c r="D51" s="613"/>
      <c r="E51" s="630">
        <v>15406</v>
      </c>
      <c r="F51" s="630">
        <v>12438</v>
      </c>
      <c r="G51" s="630">
        <v>10464</v>
      </c>
      <c r="H51" s="630">
        <v>5788</v>
      </c>
      <c r="I51" s="630">
        <v>2449</v>
      </c>
      <c r="J51" s="630">
        <v>772</v>
      </c>
      <c r="K51" s="630">
        <v>431</v>
      </c>
      <c r="L51" s="630">
        <v>22</v>
      </c>
      <c r="M51" s="627">
        <v>47770</v>
      </c>
      <c r="N51" s="322"/>
      <c r="O51" s="323">
        <v>865</v>
      </c>
      <c r="P51" s="323">
        <v>622</v>
      </c>
      <c r="Q51" s="323">
        <v>334</v>
      </c>
      <c r="R51" s="323">
        <v>117</v>
      </c>
      <c r="S51" s="323">
        <v>53</v>
      </c>
      <c r="T51" s="323">
        <v>25</v>
      </c>
      <c r="U51" s="323">
        <v>14</v>
      </c>
      <c r="V51" s="323">
        <v>2</v>
      </c>
      <c r="W51" s="323">
        <v>2032</v>
      </c>
      <c r="X51" s="329" t="s">
        <v>934</v>
      </c>
      <c r="Y51" s="330">
        <v>0</v>
      </c>
      <c r="Z51" s="330">
        <v>0</v>
      </c>
      <c r="AA51" s="330">
        <v>0</v>
      </c>
      <c r="AB51" s="330">
        <v>0</v>
      </c>
      <c r="AC51" s="330">
        <v>0</v>
      </c>
      <c r="AD51" s="330">
        <v>0</v>
      </c>
      <c r="AE51" s="330">
        <v>0</v>
      </c>
      <c r="AF51" s="330">
        <v>0</v>
      </c>
      <c r="AG51" s="328">
        <v>0</v>
      </c>
      <c r="AH51" s="329" t="s">
        <v>934</v>
      </c>
      <c r="AI51" s="184">
        <v>31</v>
      </c>
      <c r="AJ51" s="184">
        <v>48</v>
      </c>
      <c r="AK51" s="184">
        <v>57</v>
      </c>
      <c r="AL51" s="184">
        <v>36</v>
      </c>
      <c r="AM51" s="184">
        <v>22</v>
      </c>
      <c r="AN51" s="184">
        <v>8</v>
      </c>
      <c r="AO51" s="184">
        <v>14</v>
      </c>
      <c r="AP51" s="184">
        <v>9</v>
      </c>
      <c r="AQ51" s="336">
        <v>225</v>
      </c>
      <c r="AR51" s="323">
        <v>8</v>
      </c>
      <c r="AS51" s="323">
        <v>7276</v>
      </c>
      <c r="AT51" s="323">
        <v>3916</v>
      </c>
      <c r="AU51" s="323">
        <v>2676</v>
      </c>
      <c r="AV51" s="323">
        <v>1189</v>
      </c>
      <c r="AW51" s="323">
        <v>346</v>
      </c>
      <c r="AX51" s="323">
        <v>101</v>
      </c>
      <c r="AY51" s="323">
        <v>46</v>
      </c>
      <c r="AZ51" s="323">
        <v>5</v>
      </c>
      <c r="BA51" s="323">
        <v>15563</v>
      </c>
      <c r="BB51" s="331">
        <v>0</v>
      </c>
      <c r="BC51" s="330">
        <v>139</v>
      </c>
      <c r="BD51" s="330">
        <v>154</v>
      </c>
      <c r="BE51" s="330">
        <v>90</v>
      </c>
      <c r="BF51" s="330">
        <v>30</v>
      </c>
      <c r="BG51" s="330">
        <v>22</v>
      </c>
      <c r="BH51" s="330">
        <v>2</v>
      </c>
      <c r="BI51" s="330">
        <v>1</v>
      </c>
      <c r="BJ51" s="330">
        <v>0</v>
      </c>
      <c r="BK51" s="328">
        <v>438</v>
      </c>
      <c r="BL51" s="323">
        <v>0</v>
      </c>
      <c r="BM51" s="323">
        <v>25</v>
      </c>
      <c r="BN51" s="323">
        <v>17</v>
      </c>
      <c r="BO51" s="323">
        <v>8</v>
      </c>
      <c r="BP51" s="323">
        <v>3</v>
      </c>
      <c r="BQ51" s="323">
        <v>7</v>
      </c>
      <c r="BR51" s="323">
        <v>12</v>
      </c>
      <c r="BS51" s="323">
        <v>9</v>
      </c>
      <c r="BT51" s="323">
        <v>0</v>
      </c>
      <c r="BU51" s="323">
        <v>81</v>
      </c>
      <c r="BV51" s="329" t="s">
        <v>934</v>
      </c>
      <c r="BW51" s="330">
        <v>89</v>
      </c>
      <c r="BX51" s="330">
        <v>103</v>
      </c>
      <c r="BY51" s="330">
        <v>38</v>
      </c>
      <c r="BZ51" s="330">
        <v>25</v>
      </c>
      <c r="CA51" s="330">
        <v>18</v>
      </c>
      <c r="CB51" s="330">
        <v>6</v>
      </c>
      <c r="CC51" s="330">
        <v>4</v>
      </c>
      <c r="CD51" s="330">
        <v>0</v>
      </c>
      <c r="CE51" s="328">
        <v>283</v>
      </c>
      <c r="CF51" s="322" t="s">
        <v>934</v>
      </c>
      <c r="CG51" s="323">
        <v>0</v>
      </c>
      <c r="CH51" s="323">
        <v>0</v>
      </c>
      <c r="CI51" s="323">
        <v>0</v>
      </c>
      <c r="CJ51" s="323">
        <v>0</v>
      </c>
      <c r="CK51" s="323">
        <v>0</v>
      </c>
      <c r="CL51" s="323">
        <v>0</v>
      </c>
      <c r="CM51" s="323">
        <v>0</v>
      </c>
      <c r="CN51" s="323">
        <v>0</v>
      </c>
      <c r="CO51" s="323">
        <v>0</v>
      </c>
      <c r="CP51" s="329" t="s">
        <v>934</v>
      </c>
      <c r="CQ51" s="330">
        <v>0</v>
      </c>
      <c r="CR51" s="330">
        <v>0</v>
      </c>
      <c r="CS51" s="330">
        <v>0</v>
      </c>
      <c r="CT51" s="330">
        <v>0</v>
      </c>
      <c r="CU51" s="330">
        <v>0</v>
      </c>
      <c r="CV51" s="330">
        <v>0</v>
      </c>
      <c r="CW51" s="330">
        <v>0</v>
      </c>
      <c r="CX51" s="330">
        <v>0</v>
      </c>
      <c r="CY51" s="328">
        <v>0</v>
      </c>
      <c r="CZ51" s="322" t="s">
        <v>934</v>
      </c>
      <c r="DA51" s="323">
        <v>251</v>
      </c>
      <c r="DB51" s="323">
        <v>135</v>
      </c>
      <c r="DC51" s="323">
        <v>99</v>
      </c>
      <c r="DD51" s="323">
        <v>40</v>
      </c>
      <c r="DE51" s="323">
        <v>20</v>
      </c>
      <c r="DF51" s="323">
        <v>2</v>
      </c>
      <c r="DG51" s="323">
        <v>12</v>
      </c>
      <c r="DH51" s="323">
        <v>0</v>
      </c>
      <c r="DI51" s="323">
        <v>559</v>
      </c>
      <c r="DJ51" s="337">
        <v>151.4</v>
      </c>
      <c r="DK51" s="644">
        <v>35032.2</v>
      </c>
      <c r="DL51" s="614">
        <v>15591</v>
      </c>
      <c r="DM51" s="614">
        <v>12513</v>
      </c>
      <c r="DN51" s="614">
        <v>10542</v>
      </c>
      <c r="DO51" s="614">
        <v>5827</v>
      </c>
      <c r="DP51" s="614">
        <v>2475</v>
      </c>
      <c r="DQ51" s="614">
        <v>742</v>
      </c>
      <c r="DR51" s="614">
        <v>434</v>
      </c>
      <c r="DS51" s="615">
        <v>21</v>
      </c>
      <c r="DT51" s="607">
        <f t="shared" si="0"/>
        <v>48145</v>
      </c>
      <c r="DU51" s="342"/>
      <c r="EC51" s="646"/>
      <c r="EF51" s="127"/>
      <c r="EG51" s="124"/>
    </row>
    <row r="52" spans="1:137" ht="15">
      <c r="A52" s="22">
        <v>44</v>
      </c>
      <c r="B52" s="23" t="s">
        <v>219</v>
      </c>
      <c r="C52" s="24" t="s">
        <v>220</v>
      </c>
      <c r="D52" s="613"/>
      <c r="E52" s="628">
        <v>25195</v>
      </c>
      <c r="F52" s="628">
        <v>4611</v>
      </c>
      <c r="G52" s="628">
        <v>6031</v>
      </c>
      <c r="H52" s="628">
        <v>2695</v>
      </c>
      <c r="I52" s="628">
        <v>1254</v>
      </c>
      <c r="J52" s="628">
        <v>325</v>
      </c>
      <c r="K52" s="628">
        <v>141</v>
      </c>
      <c r="L52" s="628">
        <v>19</v>
      </c>
      <c r="M52" s="627">
        <v>40271</v>
      </c>
      <c r="N52" s="322"/>
      <c r="O52" s="323">
        <v>1224</v>
      </c>
      <c r="P52" s="323">
        <v>107</v>
      </c>
      <c r="Q52" s="323">
        <v>73</v>
      </c>
      <c r="R52" s="323">
        <v>35</v>
      </c>
      <c r="S52" s="323">
        <v>12</v>
      </c>
      <c r="T52" s="323">
        <v>4</v>
      </c>
      <c r="U52" s="323">
        <v>2</v>
      </c>
      <c r="V52" s="323">
        <v>2</v>
      </c>
      <c r="W52" s="323">
        <v>1459</v>
      </c>
      <c r="X52" s="329" t="s">
        <v>934</v>
      </c>
      <c r="Y52" s="330">
        <v>0</v>
      </c>
      <c r="Z52" s="330">
        <v>0</v>
      </c>
      <c r="AA52" s="330">
        <v>0</v>
      </c>
      <c r="AB52" s="330">
        <v>0</v>
      </c>
      <c r="AC52" s="330">
        <v>0</v>
      </c>
      <c r="AD52" s="330">
        <v>0</v>
      </c>
      <c r="AE52" s="330">
        <v>0</v>
      </c>
      <c r="AF52" s="330">
        <v>0</v>
      </c>
      <c r="AG52" s="328">
        <v>0</v>
      </c>
      <c r="AH52" s="329" t="s">
        <v>934</v>
      </c>
      <c r="AI52" s="184">
        <v>53</v>
      </c>
      <c r="AJ52" s="184">
        <v>21</v>
      </c>
      <c r="AK52" s="184">
        <v>36</v>
      </c>
      <c r="AL52" s="184">
        <v>23</v>
      </c>
      <c r="AM52" s="184">
        <v>8</v>
      </c>
      <c r="AN52" s="184">
        <v>7</v>
      </c>
      <c r="AO52" s="184">
        <v>19</v>
      </c>
      <c r="AP52" s="184">
        <v>8</v>
      </c>
      <c r="AQ52" s="336">
        <v>175</v>
      </c>
      <c r="AR52" s="323">
        <v>11</v>
      </c>
      <c r="AS52" s="323">
        <v>11510</v>
      </c>
      <c r="AT52" s="323">
        <v>1369</v>
      </c>
      <c r="AU52" s="323">
        <v>1399</v>
      </c>
      <c r="AV52" s="323">
        <v>433</v>
      </c>
      <c r="AW52" s="323">
        <v>151</v>
      </c>
      <c r="AX52" s="323">
        <v>39</v>
      </c>
      <c r="AY52" s="323">
        <v>13</v>
      </c>
      <c r="AZ52" s="323">
        <v>1</v>
      </c>
      <c r="BA52" s="323">
        <v>14926</v>
      </c>
      <c r="BB52" s="331">
        <v>0</v>
      </c>
      <c r="BC52" s="330">
        <v>168</v>
      </c>
      <c r="BD52" s="330">
        <v>65</v>
      </c>
      <c r="BE52" s="330">
        <v>61</v>
      </c>
      <c r="BF52" s="330">
        <v>29</v>
      </c>
      <c r="BG52" s="330">
        <v>13</v>
      </c>
      <c r="BH52" s="330">
        <v>2</v>
      </c>
      <c r="BI52" s="330">
        <v>0</v>
      </c>
      <c r="BJ52" s="330">
        <v>0</v>
      </c>
      <c r="BK52" s="328">
        <v>338</v>
      </c>
      <c r="BL52" s="323">
        <v>2</v>
      </c>
      <c r="BM52" s="323">
        <v>20</v>
      </c>
      <c r="BN52" s="323">
        <v>8</v>
      </c>
      <c r="BO52" s="323">
        <v>7</v>
      </c>
      <c r="BP52" s="323">
        <v>5</v>
      </c>
      <c r="BQ52" s="323">
        <v>8</v>
      </c>
      <c r="BR52" s="323">
        <v>22</v>
      </c>
      <c r="BS52" s="323">
        <v>9</v>
      </c>
      <c r="BT52" s="323">
        <v>2</v>
      </c>
      <c r="BU52" s="323">
        <v>83</v>
      </c>
      <c r="BV52" s="329" t="s">
        <v>934</v>
      </c>
      <c r="BW52" s="330">
        <v>23</v>
      </c>
      <c r="BX52" s="330">
        <v>8</v>
      </c>
      <c r="BY52" s="330">
        <v>2</v>
      </c>
      <c r="BZ52" s="330">
        <v>2</v>
      </c>
      <c r="CA52" s="330">
        <v>3</v>
      </c>
      <c r="CB52" s="330">
        <v>1</v>
      </c>
      <c r="CC52" s="330">
        <v>1</v>
      </c>
      <c r="CD52" s="330">
        <v>0</v>
      </c>
      <c r="CE52" s="328">
        <v>40</v>
      </c>
      <c r="CF52" s="322" t="s">
        <v>934</v>
      </c>
      <c r="CG52" s="323">
        <v>1413</v>
      </c>
      <c r="CH52" s="323">
        <v>85</v>
      </c>
      <c r="CI52" s="323">
        <v>65</v>
      </c>
      <c r="CJ52" s="323">
        <v>32</v>
      </c>
      <c r="CK52" s="323">
        <v>16</v>
      </c>
      <c r="CL52" s="323">
        <v>9</v>
      </c>
      <c r="CM52" s="323">
        <v>5</v>
      </c>
      <c r="CN52" s="323">
        <v>1</v>
      </c>
      <c r="CO52" s="323">
        <v>1626</v>
      </c>
      <c r="CP52" s="329" t="s">
        <v>934</v>
      </c>
      <c r="CQ52" s="330">
        <v>0</v>
      </c>
      <c r="CR52" s="330">
        <v>0</v>
      </c>
      <c r="CS52" s="330">
        <v>0</v>
      </c>
      <c r="CT52" s="330">
        <v>0</v>
      </c>
      <c r="CU52" s="330">
        <v>0</v>
      </c>
      <c r="CV52" s="330">
        <v>0</v>
      </c>
      <c r="CW52" s="330">
        <v>0</v>
      </c>
      <c r="CX52" s="330">
        <v>0</v>
      </c>
      <c r="CY52" s="328">
        <v>0</v>
      </c>
      <c r="CZ52" s="322" t="s">
        <v>934</v>
      </c>
      <c r="DA52" s="323">
        <v>0</v>
      </c>
      <c r="DB52" s="323">
        <v>0</v>
      </c>
      <c r="DC52" s="323">
        <v>0</v>
      </c>
      <c r="DD52" s="323">
        <v>0</v>
      </c>
      <c r="DE52" s="323">
        <v>0</v>
      </c>
      <c r="DF52" s="323">
        <v>0</v>
      </c>
      <c r="DG52" s="323">
        <v>0</v>
      </c>
      <c r="DH52" s="323">
        <v>0</v>
      </c>
      <c r="DI52" s="323">
        <v>0</v>
      </c>
      <c r="DJ52" s="337">
        <v>0</v>
      </c>
      <c r="DK52" s="644">
        <v>26292.1</v>
      </c>
      <c r="DL52" s="614">
        <v>25152</v>
      </c>
      <c r="DM52" s="614">
        <v>4669</v>
      </c>
      <c r="DN52" s="614">
        <v>6057</v>
      </c>
      <c r="DO52" s="614">
        <v>2737</v>
      </c>
      <c r="DP52" s="614">
        <v>1268</v>
      </c>
      <c r="DQ52" s="614">
        <v>323</v>
      </c>
      <c r="DR52" s="614">
        <v>146</v>
      </c>
      <c r="DS52" s="615">
        <v>18</v>
      </c>
      <c r="DT52" s="607">
        <f t="shared" si="0"/>
        <v>40370</v>
      </c>
      <c r="DU52" s="342"/>
      <c r="EC52" s="646"/>
      <c r="EF52" s="123"/>
      <c r="EG52" s="124"/>
    </row>
    <row r="53" spans="1:137" ht="15">
      <c r="A53" s="22">
        <v>45</v>
      </c>
      <c r="B53" s="23" t="s">
        <v>221</v>
      </c>
      <c r="C53" s="24" t="s">
        <v>222</v>
      </c>
      <c r="D53" s="613"/>
      <c r="E53" s="626">
        <v>29167</v>
      </c>
      <c r="F53" s="626">
        <v>17153</v>
      </c>
      <c r="G53" s="626">
        <v>16458</v>
      </c>
      <c r="H53" s="626">
        <v>8620</v>
      </c>
      <c r="I53" s="626">
        <v>5165</v>
      </c>
      <c r="J53" s="626">
        <v>1743</v>
      </c>
      <c r="K53" s="626">
        <v>1272</v>
      </c>
      <c r="L53" s="626">
        <v>176</v>
      </c>
      <c r="M53" s="627">
        <v>79754</v>
      </c>
      <c r="N53" s="322"/>
      <c r="O53" s="323">
        <v>1297</v>
      </c>
      <c r="P53" s="323">
        <v>440</v>
      </c>
      <c r="Q53" s="323">
        <v>297</v>
      </c>
      <c r="R53" s="323">
        <v>121</v>
      </c>
      <c r="S53" s="323">
        <v>47</v>
      </c>
      <c r="T53" s="323">
        <v>23</v>
      </c>
      <c r="U53" s="323">
        <v>26</v>
      </c>
      <c r="V53" s="323">
        <v>4</v>
      </c>
      <c r="W53" s="323">
        <v>2255</v>
      </c>
      <c r="X53" s="329" t="s">
        <v>934</v>
      </c>
      <c r="Y53" s="330">
        <v>0</v>
      </c>
      <c r="Z53" s="330">
        <v>0</v>
      </c>
      <c r="AA53" s="330">
        <v>0</v>
      </c>
      <c r="AB53" s="330">
        <v>0</v>
      </c>
      <c r="AC53" s="330">
        <v>0</v>
      </c>
      <c r="AD53" s="330">
        <v>0</v>
      </c>
      <c r="AE53" s="330">
        <v>0</v>
      </c>
      <c r="AF53" s="330">
        <v>0</v>
      </c>
      <c r="AG53" s="328">
        <v>0</v>
      </c>
      <c r="AH53" s="329" t="s">
        <v>934</v>
      </c>
      <c r="AI53" s="184">
        <v>32</v>
      </c>
      <c r="AJ53" s="184">
        <v>56</v>
      </c>
      <c r="AK53" s="184">
        <v>82</v>
      </c>
      <c r="AL53" s="184">
        <v>56</v>
      </c>
      <c r="AM53" s="184">
        <v>41</v>
      </c>
      <c r="AN53" s="184">
        <v>20</v>
      </c>
      <c r="AO53" s="184">
        <v>23</v>
      </c>
      <c r="AP53" s="184">
        <v>27</v>
      </c>
      <c r="AQ53" s="336">
        <v>337</v>
      </c>
      <c r="AR53" s="323">
        <v>0</v>
      </c>
      <c r="AS53" s="323">
        <v>14600</v>
      </c>
      <c r="AT53" s="323">
        <v>6004</v>
      </c>
      <c r="AU53" s="323">
        <v>4368</v>
      </c>
      <c r="AV53" s="323">
        <v>1802</v>
      </c>
      <c r="AW53" s="323">
        <v>731</v>
      </c>
      <c r="AX53" s="323">
        <v>213</v>
      </c>
      <c r="AY53" s="323">
        <v>124</v>
      </c>
      <c r="AZ53" s="323">
        <v>10</v>
      </c>
      <c r="BA53" s="323">
        <v>27852</v>
      </c>
      <c r="BB53" s="331">
        <v>0</v>
      </c>
      <c r="BC53" s="330">
        <v>208</v>
      </c>
      <c r="BD53" s="330">
        <v>149</v>
      </c>
      <c r="BE53" s="330">
        <v>129</v>
      </c>
      <c r="BF53" s="330">
        <v>64</v>
      </c>
      <c r="BG53" s="330">
        <v>37</v>
      </c>
      <c r="BH53" s="330">
        <v>13</v>
      </c>
      <c r="BI53" s="330">
        <v>5</v>
      </c>
      <c r="BJ53" s="330">
        <v>0</v>
      </c>
      <c r="BK53" s="328">
        <v>605</v>
      </c>
      <c r="BL53" s="323">
        <v>0</v>
      </c>
      <c r="BM53" s="323">
        <v>11</v>
      </c>
      <c r="BN53" s="323">
        <v>18</v>
      </c>
      <c r="BO53" s="323">
        <v>23</v>
      </c>
      <c r="BP53" s="323">
        <v>15</v>
      </c>
      <c r="BQ53" s="323">
        <v>8</v>
      </c>
      <c r="BR53" s="323">
        <v>6</v>
      </c>
      <c r="BS53" s="323">
        <v>23</v>
      </c>
      <c r="BT53" s="323">
        <v>28</v>
      </c>
      <c r="BU53" s="323">
        <v>132</v>
      </c>
      <c r="BV53" s="329" t="s">
        <v>934</v>
      </c>
      <c r="BW53" s="330">
        <v>202</v>
      </c>
      <c r="BX53" s="330">
        <v>87</v>
      </c>
      <c r="BY53" s="330">
        <v>69</v>
      </c>
      <c r="BZ53" s="330">
        <v>22</v>
      </c>
      <c r="CA53" s="330">
        <v>13</v>
      </c>
      <c r="CB53" s="330">
        <v>2</v>
      </c>
      <c r="CC53" s="330">
        <v>2</v>
      </c>
      <c r="CD53" s="330">
        <v>0</v>
      </c>
      <c r="CE53" s="328">
        <v>397</v>
      </c>
      <c r="CF53" s="322" t="s">
        <v>934</v>
      </c>
      <c r="CG53" s="323">
        <v>650</v>
      </c>
      <c r="CH53" s="323">
        <v>262</v>
      </c>
      <c r="CI53" s="323">
        <v>216</v>
      </c>
      <c r="CJ53" s="323">
        <v>65</v>
      </c>
      <c r="CK53" s="323">
        <v>48</v>
      </c>
      <c r="CL53" s="323">
        <v>26</v>
      </c>
      <c r="CM53" s="323">
        <v>14</v>
      </c>
      <c r="CN53" s="323">
        <v>4</v>
      </c>
      <c r="CO53" s="323">
        <v>1285</v>
      </c>
      <c r="CP53" s="329" t="s">
        <v>934</v>
      </c>
      <c r="CQ53" s="330">
        <v>0</v>
      </c>
      <c r="CR53" s="330">
        <v>0</v>
      </c>
      <c r="CS53" s="330">
        <v>0</v>
      </c>
      <c r="CT53" s="330">
        <v>0</v>
      </c>
      <c r="CU53" s="330">
        <v>0</v>
      </c>
      <c r="CV53" s="330">
        <v>0</v>
      </c>
      <c r="CW53" s="330">
        <v>0</v>
      </c>
      <c r="CX53" s="330">
        <v>0</v>
      </c>
      <c r="CY53" s="328">
        <v>0</v>
      </c>
      <c r="CZ53" s="322" t="s">
        <v>934</v>
      </c>
      <c r="DA53" s="323">
        <v>0</v>
      </c>
      <c r="DB53" s="323">
        <v>0</v>
      </c>
      <c r="DC53" s="323">
        <v>0</v>
      </c>
      <c r="DD53" s="323">
        <v>0</v>
      </c>
      <c r="DE53" s="323">
        <v>0</v>
      </c>
      <c r="DF53" s="323">
        <v>0</v>
      </c>
      <c r="DG53" s="323">
        <v>0</v>
      </c>
      <c r="DH53" s="323">
        <v>0</v>
      </c>
      <c r="DI53" s="323">
        <v>0</v>
      </c>
      <c r="DJ53" s="337">
        <v>0</v>
      </c>
      <c r="DK53" s="644">
        <v>59296.2</v>
      </c>
      <c r="DL53" s="614">
        <v>29284</v>
      </c>
      <c r="DM53" s="614">
        <v>17412</v>
      </c>
      <c r="DN53" s="614">
        <v>16638</v>
      </c>
      <c r="DO53" s="614">
        <v>8684</v>
      </c>
      <c r="DP53" s="614">
        <v>5182</v>
      </c>
      <c r="DQ53" s="614">
        <v>1760</v>
      </c>
      <c r="DR53" s="614">
        <v>1272</v>
      </c>
      <c r="DS53" s="615">
        <v>175</v>
      </c>
      <c r="DT53" s="607">
        <f t="shared" si="0"/>
        <v>80407</v>
      </c>
      <c r="DU53" s="342"/>
      <c r="EC53" s="646"/>
      <c r="EF53" s="123"/>
      <c r="EG53" s="124"/>
    </row>
    <row r="54" spans="1:137" ht="15">
      <c r="A54" s="22">
        <v>46</v>
      </c>
      <c r="B54" s="23" t="s">
        <v>223</v>
      </c>
      <c r="C54" s="24" t="s">
        <v>224</v>
      </c>
      <c r="D54" s="613"/>
      <c r="E54" s="626">
        <v>43439</v>
      </c>
      <c r="F54" s="626">
        <v>16624</v>
      </c>
      <c r="G54" s="626">
        <v>14212</v>
      </c>
      <c r="H54" s="626">
        <v>6609</v>
      </c>
      <c r="I54" s="626">
        <v>4797</v>
      </c>
      <c r="J54" s="626">
        <v>2551</v>
      </c>
      <c r="K54" s="626">
        <v>1197</v>
      </c>
      <c r="L54" s="626">
        <v>38</v>
      </c>
      <c r="M54" s="627">
        <v>89467</v>
      </c>
      <c r="N54" s="322"/>
      <c r="O54" s="323">
        <v>1948</v>
      </c>
      <c r="P54" s="323">
        <v>463</v>
      </c>
      <c r="Q54" s="323">
        <v>257</v>
      </c>
      <c r="R54" s="323">
        <v>97</v>
      </c>
      <c r="S54" s="323">
        <v>61</v>
      </c>
      <c r="T54" s="323">
        <v>34</v>
      </c>
      <c r="U54" s="323">
        <v>16</v>
      </c>
      <c r="V54" s="323">
        <v>0</v>
      </c>
      <c r="W54" s="323">
        <v>2876</v>
      </c>
      <c r="X54" s="329" t="s">
        <v>934</v>
      </c>
      <c r="Y54" s="330">
        <v>0</v>
      </c>
      <c r="Z54" s="330">
        <v>0</v>
      </c>
      <c r="AA54" s="330">
        <v>0</v>
      </c>
      <c r="AB54" s="330">
        <v>0</v>
      </c>
      <c r="AC54" s="330">
        <v>0</v>
      </c>
      <c r="AD54" s="330">
        <v>0</v>
      </c>
      <c r="AE54" s="330">
        <v>0</v>
      </c>
      <c r="AF54" s="330">
        <v>0</v>
      </c>
      <c r="AG54" s="328">
        <v>0</v>
      </c>
      <c r="AH54" s="329" t="s">
        <v>934</v>
      </c>
      <c r="AI54" s="184">
        <v>47</v>
      </c>
      <c r="AJ54" s="184">
        <v>41</v>
      </c>
      <c r="AK54" s="184">
        <v>77</v>
      </c>
      <c r="AL54" s="184">
        <v>27</v>
      </c>
      <c r="AM54" s="184">
        <v>37</v>
      </c>
      <c r="AN54" s="184">
        <v>23</v>
      </c>
      <c r="AO54" s="184">
        <v>27</v>
      </c>
      <c r="AP54" s="184">
        <v>7</v>
      </c>
      <c r="AQ54" s="336">
        <v>286</v>
      </c>
      <c r="AR54" s="323">
        <v>17</v>
      </c>
      <c r="AS54" s="323">
        <v>18398</v>
      </c>
      <c r="AT54" s="323">
        <v>5045</v>
      </c>
      <c r="AU54" s="323">
        <v>3424</v>
      </c>
      <c r="AV54" s="323">
        <v>1219</v>
      </c>
      <c r="AW54" s="323">
        <v>695</v>
      </c>
      <c r="AX54" s="323">
        <v>320</v>
      </c>
      <c r="AY54" s="323">
        <v>93</v>
      </c>
      <c r="AZ54" s="323">
        <v>0</v>
      </c>
      <c r="BA54" s="323">
        <v>29211</v>
      </c>
      <c r="BB54" s="331">
        <v>4</v>
      </c>
      <c r="BC54" s="330">
        <v>346</v>
      </c>
      <c r="BD54" s="330">
        <v>172</v>
      </c>
      <c r="BE54" s="330">
        <v>136</v>
      </c>
      <c r="BF54" s="330">
        <v>51</v>
      </c>
      <c r="BG54" s="330">
        <v>33</v>
      </c>
      <c r="BH54" s="330">
        <v>21</v>
      </c>
      <c r="BI54" s="330">
        <v>6</v>
      </c>
      <c r="BJ54" s="330">
        <v>0</v>
      </c>
      <c r="BK54" s="328">
        <v>769</v>
      </c>
      <c r="BL54" s="323">
        <v>2</v>
      </c>
      <c r="BM54" s="323">
        <v>44</v>
      </c>
      <c r="BN54" s="323">
        <v>17</v>
      </c>
      <c r="BO54" s="323">
        <v>16</v>
      </c>
      <c r="BP54" s="323">
        <v>16</v>
      </c>
      <c r="BQ54" s="323">
        <v>19</v>
      </c>
      <c r="BR54" s="323">
        <v>19</v>
      </c>
      <c r="BS54" s="323">
        <v>23</v>
      </c>
      <c r="BT54" s="323">
        <v>5</v>
      </c>
      <c r="BU54" s="323">
        <v>161</v>
      </c>
      <c r="BV54" s="329" t="s">
        <v>934</v>
      </c>
      <c r="BW54" s="330">
        <v>71</v>
      </c>
      <c r="BX54" s="330">
        <v>50</v>
      </c>
      <c r="BY54" s="330">
        <v>42</v>
      </c>
      <c r="BZ54" s="330">
        <v>18</v>
      </c>
      <c r="CA54" s="330">
        <v>17</v>
      </c>
      <c r="CB54" s="330">
        <v>4</v>
      </c>
      <c r="CC54" s="330">
        <v>7</v>
      </c>
      <c r="CD54" s="330">
        <v>0</v>
      </c>
      <c r="CE54" s="328">
        <v>209</v>
      </c>
      <c r="CF54" s="322" t="s">
        <v>934</v>
      </c>
      <c r="CG54" s="323">
        <v>1364</v>
      </c>
      <c r="CH54" s="323">
        <v>408</v>
      </c>
      <c r="CI54" s="323">
        <v>275</v>
      </c>
      <c r="CJ54" s="323">
        <v>127</v>
      </c>
      <c r="CK54" s="323">
        <v>77</v>
      </c>
      <c r="CL54" s="323">
        <v>36</v>
      </c>
      <c r="CM54" s="323">
        <v>23</v>
      </c>
      <c r="CN54" s="323">
        <v>1</v>
      </c>
      <c r="CO54" s="323">
        <v>2311</v>
      </c>
      <c r="CP54" s="329" t="s">
        <v>934</v>
      </c>
      <c r="CQ54" s="330">
        <v>0</v>
      </c>
      <c r="CR54" s="330">
        <v>0</v>
      </c>
      <c r="CS54" s="330">
        <v>0</v>
      </c>
      <c r="CT54" s="330">
        <v>0</v>
      </c>
      <c r="CU54" s="330">
        <v>0</v>
      </c>
      <c r="CV54" s="330">
        <v>0</v>
      </c>
      <c r="CW54" s="330">
        <v>0</v>
      </c>
      <c r="CX54" s="330">
        <v>0</v>
      </c>
      <c r="CY54" s="328">
        <v>0</v>
      </c>
      <c r="CZ54" s="322" t="s">
        <v>934</v>
      </c>
      <c r="DA54" s="323">
        <v>0</v>
      </c>
      <c r="DB54" s="323">
        <v>0</v>
      </c>
      <c r="DC54" s="323">
        <v>0</v>
      </c>
      <c r="DD54" s="323">
        <v>0</v>
      </c>
      <c r="DE54" s="323">
        <v>0</v>
      </c>
      <c r="DF54" s="323">
        <v>0</v>
      </c>
      <c r="DG54" s="323">
        <v>0</v>
      </c>
      <c r="DH54" s="323">
        <v>0</v>
      </c>
      <c r="DI54" s="323">
        <v>0</v>
      </c>
      <c r="DJ54" s="337">
        <v>0</v>
      </c>
      <c r="DK54" s="644">
        <v>63866.8</v>
      </c>
      <c r="DL54" s="614">
        <v>43760</v>
      </c>
      <c r="DM54" s="614">
        <v>17047</v>
      </c>
      <c r="DN54" s="614">
        <v>14561</v>
      </c>
      <c r="DO54" s="614">
        <v>6822</v>
      </c>
      <c r="DP54" s="614">
        <v>4867</v>
      </c>
      <c r="DQ54" s="614">
        <v>2574</v>
      </c>
      <c r="DR54" s="614">
        <v>1192</v>
      </c>
      <c r="DS54" s="615">
        <v>40</v>
      </c>
      <c r="DT54" s="607">
        <f t="shared" si="0"/>
        <v>90863</v>
      </c>
      <c r="DU54" s="342"/>
      <c r="EC54" s="646"/>
      <c r="EF54" s="126"/>
      <c r="EG54" s="124"/>
    </row>
    <row r="55" spans="1:137" ht="15">
      <c r="A55" s="22">
        <v>47</v>
      </c>
      <c r="B55" s="23" t="s">
        <v>225</v>
      </c>
      <c r="C55" s="24" t="s">
        <v>226</v>
      </c>
      <c r="D55" s="613"/>
      <c r="E55" s="629">
        <v>2721</v>
      </c>
      <c r="F55" s="629">
        <v>8771</v>
      </c>
      <c r="G55" s="629">
        <v>16789</v>
      </c>
      <c r="H55" s="629">
        <v>7851</v>
      </c>
      <c r="I55" s="629">
        <v>4493</v>
      </c>
      <c r="J55" s="629">
        <v>2857</v>
      </c>
      <c r="K55" s="629">
        <v>2685</v>
      </c>
      <c r="L55" s="629">
        <v>412</v>
      </c>
      <c r="M55" s="627">
        <v>46579</v>
      </c>
      <c r="N55" s="322"/>
      <c r="O55" s="323">
        <v>215</v>
      </c>
      <c r="P55" s="323">
        <v>593</v>
      </c>
      <c r="Q55" s="323">
        <v>898</v>
      </c>
      <c r="R55" s="323">
        <v>548</v>
      </c>
      <c r="S55" s="323">
        <v>291</v>
      </c>
      <c r="T55" s="323">
        <v>220</v>
      </c>
      <c r="U55" s="323">
        <v>382</v>
      </c>
      <c r="V55" s="323">
        <v>167</v>
      </c>
      <c r="W55" s="323">
        <v>3314</v>
      </c>
      <c r="X55" s="329" t="s">
        <v>934</v>
      </c>
      <c r="Y55" s="330">
        <v>0</v>
      </c>
      <c r="Z55" s="330">
        <v>0</v>
      </c>
      <c r="AA55" s="330">
        <v>0</v>
      </c>
      <c r="AB55" s="330">
        <v>0</v>
      </c>
      <c r="AC55" s="330">
        <v>0</v>
      </c>
      <c r="AD55" s="330">
        <v>0</v>
      </c>
      <c r="AE55" s="330">
        <v>0</v>
      </c>
      <c r="AF55" s="330">
        <v>0</v>
      </c>
      <c r="AG55" s="328">
        <v>0</v>
      </c>
      <c r="AH55" s="329" t="s">
        <v>934</v>
      </c>
      <c r="AI55" s="184">
        <v>0</v>
      </c>
      <c r="AJ55" s="184">
        <v>19</v>
      </c>
      <c r="AK55" s="184">
        <v>49</v>
      </c>
      <c r="AL55" s="184">
        <v>25</v>
      </c>
      <c r="AM55" s="184">
        <v>26</v>
      </c>
      <c r="AN55" s="184">
        <v>18</v>
      </c>
      <c r="AO55" s="184">
        <v>14</v>
      </c>
      <c r="AP55" s="184">
        <v>7</v>
      </c>
      <c r="AQ55" s="336">
        <v>158</v>
      </c>
      <c r="AR55" s="323">
        <v>0</v>
      </c>
      <c r="AS55" s="323">
        <v>1752</v>
      </c>
      <c r="AT55" s="323">
        <v>4683</v>
      </c>
      <c r="AU55" s="323">
        <v>5285</v>
      </c>
      <c r="AV55" s="323">
        <v>2068</v>
      </c>
      <c r="AW55" s="323">
        <v>1037</v>
      </c>
      <c r="AX55" s="323">
        <v>497</v>
      </c>
      <c r="AY55" s="323">
        <v>407</v>
      </c>
      <c r="AZ55" s="323">
        <v>18</v>
      </c>
      <c r="BA55" s="323">
        <v>15747</v>
      </c>
      <c r="BB55" s="331">
        <v>0</v>
      </c>
      <c r="BC55" s="330">
        <v>21</v>
      </c>
      <c r="BD55" s="330">
        <v>117</v>
      </c>
      <c r="BE55" s="330">
        <v>261</v>
      </c>
      <c r="BF55" s="330">
        <v>145</v>
      </c>
      <c r="BG55" s="330">
        <v>61</v>
      </c>
      <c r="BH55" s="330">
        <v>35</v>
      </c>
      <c r="BI55" s="330">
        <v>20</v>
      </c>
      <c r="BJ55" s="330">
        <v>0</v>
      </c>
      <c r="BK55" s="328">
        <v>660</v>
      </c>
      <c r="BL55" s="323">
        <v>0</v>
      </c>
      <c r="BM55" s="323">
        <v>0</v>
      </c>
      <c r="BN55" s="323">
        <v>5</v>
      </c>
      <c r="BO55" s="323">
        <v>1</v>
      </c>
      <c r="BP55" s="323">
        <v>7</v>
      </c>
      <c r="BQ55" s="323">
        <v>2</v>
      </c>
      <c r="BR55" s="323">
        <v>4</v>
      </c>
      <c r="BS55" s="323">
        <v>9</v>
      </c>
      <c r="BT55" s="323">
        <v>8</v>
      </c>
      <c r="BU55" s="323">
        <v>36</v>
      </c>
      <c r="BV55" s="329" t="s">
        <v>934</v>
      </c>
      <c r="BW55" s="330">
        <v>73</v>
      </c>
      <c r="BX55" s="330">
        <v>159</v>
      </c>
      <c r="BY55" s="330">
        <v>341</v>
      </c>
      <c r="BZ55" s="330">
        <v>214</v>
      </c>
      <c r="CA55" s="330">
        <v>109</v>
      </c>
      <c r="CB55" s="330">
        <v>69</v>
      </c>
      <c r="CC55" s="330">
        <v>44</v>
      </c>
      <c r="CD55" s="330">
        <v>9</v>
      </c>
      <c r="CE55" s="328">
        <v>1018</v>
      </c>
      <c r="CF55" s="322" t="s">
        <v>934</v>
      </c>
      <c r="CG55" s="323">
        <v>100</v>
      </c>
      <c r="CH55" s="323">
        <v>72</v>
      </c>
      <c r="CI55" s="323">
        <v>127</v>
      </c>
      <c r="CJ55" s="323">
        <v>79</v>
      </c>
      <c r="CK55" s="323">
        <v>48</v>
      </c>
      <c r="CL55" s="323">
        <v>29</v>
      </c>
      <c r="CM55" s="323">
        <v>33</v>
      </c>
      <c r="CN55" s="323">
        <v>7</v>
      </c>
      <c r="CO55" s="323">
        <v>495</v>
      </c>
      <c r="CP55" s="329" t="s">
        <v>934</v>
      </c>
      <c r="CQ55" s="330">
        <v>0</v>
      </c>
      <c r="CR55" s="330">
        <v>0</v>
      </c>
      <c r="CS55" s="330">
        <v>0</v>
      </c>
      <c r="CT55" s="330">
        <v>0</v>
      </c>
      <c r="CU55" s="330">
        <v>0</v>
      </c>
      <c r="CV55" s="330">
        <v>0</v>
      </c>
      <c r="CW55" s="330">
        <v>0</v>
      </c>
      <c r="CX55" s="330">
        <v>0</v>
      </c>
      <c r="CY55" s="328">
        <v>0</v>
      </c>
      <c r="CZ55" s="322" t="s">
        <v>934</v>
      </c>
      <c r="DA55" s="323">
        <v>0</v>
      </c>
      <c r="DB55" s="323">
        <v>0</v>
      </c>
      <c r="DC55" s="323">
        <v>0</v>
      </c>
      <c r="DD55" s="323">
        <v>0</v>
      </c>
      <c r="DE55" s="323">
        <v>0</v>
      </c>
      <c r="DF55" s="323">
        <v>0</v>
      </c>
      <c r="DG55" s="323">
        <v>0</v>
      </c>
      <c r="DH55" s="323">
        <v>0</v>
      </c>
      <c r="DI55" s="323">
        <v>0</v>
      </c>
      <c r="DJ55" s="337">
        <v>0</v>
      </c>
      <c r="DK55" s="644">
        <v>38203.8</v>
      </c>
      <c r="DL55" s="616">
        <v>2689</v>
      </c>
      <c r="DM55" s="616">
        <v>8919</v>
      </c>
      <c r="DN55" s="616">
        <v>17031</v>
      </c>
      <c r="DO55" s="616">
        <v>8082</v>
      </c>
      <c r="DP55" s="616">
        <v>4618</v>
      </c>
      <c r="DQ55" s="616">
        <v>2950</v>
      </c>
      <c r="DR55" s="616">
        <v>2739</v>
      </c>
      <c r="DS55" s="617">
        <v>424</v>
      </c>
      <c r="DT55" s="607">
        <f t="shared" si="0"/>
        <v>47452</v>
      </c>
      <c r="DU55" s="342"/>
      <c r="EC55" s="646"/>
      <c r="EF55" s="125"/>
      <c r="EG55" s="124"/>
    </row>
    <row r="56" spans="1:137" ht="15">
      <c r="A56" s="22">
        <v>48</v>
      </c>
      <c r="B56" s="23" t="s">
        <v>227</v>
      </c>
      <c r="C56" s="24" t="s">
        <v>228</v>
      </c>
      <c r="D56" s="613"/>
      <c r="E56" s="629">
        <v>2363</v>
      </c>
      <c r="F56" s="629">
        <v>9898</v>
      </c>
      <c r="G56" s="629">
        <v>18944</v>
      </c>
      <c r="H56" s="629">
        <v>23810</v>
      </c>
      <c r="I56" s="629">
        <v>16309</v>
      </c>
      <c r="J56" s="629">
        <v>10245</v>
      </c>
      <c r="K56" s="629">
        <v>11667</v>
      </c>
      <c r="L56" s="629">
        <v>4026</v>
      </c>
      <c r="M56" s="627">
        <v>97262</v>
      </c>
      <c r="N56" s="322"/>
      <c r="O56" s="323">
        <v>221</v>
      </c>
      <c r="P56" s="323">
        <v>421</v>
      </c>
      <c r="Q56" s="323">
        <v>858</v>
      </c>
      <c r="R56" s="323">
        <v>1210</v>
      </c>
      <c r="S56" s="323">
        <v>912</v>
      </c>
      <c r="T56" s="323">
        <v>589</v>
      </c>
      <c r="U56" s="323">
        <v>485</v>
      </c>
      <c r="V56" s="323">
        <v>187</v>
      </c>
      <c r="W56" s="323">
        <v>4883</v>
      </c>
      <c r="X56" s="329" t="s">
        <v>934</v>
      </c>
      <c r="Y56" s="330">
        <v>1</v>
      </c>
      <c r="Z56" s="330">
        <v>2</v>
      </c>
      <c r="AA56" s="330">
        <v>2</v>
      </c>
      <c r="AB56" s="330">
        <v>2</v>
      </c>
      <c r="AC56" s="330">
        <v>6</v>
      </c>
      <c r="AD56" s="330">
        <v>4</v>
      </c>
      <c r="AE56" s="330">
        <v>6</v>
      </c>
      <c r="AF56" s="330">
        <v>4</v>
      </c>
      <c r="AG56" s="328">
        <v>27</v>
      </c>
      <c r="AH56" s="329" t="s">
        <v>934</v>
      </c>
      <c r="AI56" s="184">
        <v>1</v>
      </c>
      <c r="AJ56" s="184">
        <v>18</v>
      </c>
      <c r="AK56" s="184">
        <v>43</v>
      </c>
      <c r="AL56" s="184">
        <v>64</v>
      </c>
      <c r="AM56" s="184">
        <v>53</v>
      </c>
      <c r="AN56" s="184">
        <v>44</v>
      </c>
      <c r="AO56" s="184">
        <v>69</v>
      </c>
      <c r="AP56" s="184">
        <v>23</v>
      </c>
      <c r="AQ56" s="336">
        <v>315</v>
      </c>
      <c r="AR56" s="323">
        <v>1</v>
      </c>
      <c r="AS56" s="323">
        <v>1273</v>
      </c>
      <c r="AT56" s="323">
        <v>6342</v>
      </c>
      <c r="AU56" s="323">
        <v>9973</v>
      </c>
      <c r="AV56" s="323">
        <v>10265</v>
      </c>
      <c r="AW56" s="323">
        <v>5762</v>
      </c>
      <c r="AX56" s="323">
        <v>2997</v>
      </c>
      <c r="AY56" s="323">
        <v>2533</v>
      </c>
      <c r="AZ56" s="323">
        <v>413</v>
      </c>
      <c r="BA56" s="323">
        <v>39559</v>
      </c>
      <c r="BB56" s="331">
        <v>0</v>
      </c>
      <c r="BC56" s="330">
        <v>7</v>
      </c>
      <c r="BD56" s="330">
        <v>54</v>
      </c>
      <c r="BE56" s="330">
        <v>181</v>
      </c>
      <c r="BF56" s="330">
        <v>293</v>
      </c>
      <c r="BG56" s="330">
        <v>172</v>
      </c>
      <c r="BH56" s="330">
        <v>99</v>
      </c>
      <c r="BI56" s="330">
        <v>92</v>
      </c>
      <c r="BJ56" s="330">
        <v>14</v>
      </c>
      <c r="BK56" s="328">
        <v>912</v>
      </c>
      <c r="BL56" s="323">
        <v>0</v>
      </c>
      <c r="BM56" s="323">
        <v>0</v>
      </c>
      <c r="BN56" s="323">
        <v>0</v>
      </c>
      <c r="BO56" s="323">
        <v>0</v>
      </c>
      <c r="BP56" s="323">
        <v>5</v>
      </c>
      <c r="BQ56" s="323">
        <v>9</v>
      </c>
      <c r="BR56" s="323">
        <v>7</v>
      </c>
      <c r="BS56" s="323">
        <v>37</v>
      </c>
      <c r="BT56" s="323">
        <v>39</v>
      </c>
      <c r="BU56" s="323">
        <v>97</v>
      </c>
      <c r="BV56" s="329" t="s">
        <v>934</v>
      </c>
      <c r="BW56" s="330">
        <v>109</v>
      </c>
      <c r="BX56" s="330">
        <v>170</v>
      </c>
      <c r="BY56" s="330">
        <v>561</v>
      </c>
      <c r="BZ56" s="330">
        <v>692</v>
      </c>
      <c r="CA56" s="330">
        <v>697</v>
      </c>
      <c r="CB56" s="330">
        <v>468</v>
      </c>
      <c r="CC56" s="330">
        <v>472</v>
      </c>
      <c r="CD56" s="330">
        <v>114</v>
      </c>
      <c r="CE56" s="328">
        <v>3283</v>
      </c>
      <c r="CF56" s="322" t="s">
        <v>934</v>
      </c>
      <c r="CG56" s="323">
        <v>0</v>
      </c>
      <c r="CH56" s="323">
        <v>0</v>
      </c>
      <c r="CI56" s="323">
        <v>0</v>
      </c>
      <c r="CJ56" s="323">
        <v>0</v>
      </c>
      <c r="CK56" s="323">
        <v>0</v>
      </c>
      <c r="CL56" s="323">
        <v>0</v>
      </c>
      <c r="CM56" s="323">
        <v>0</v>
      </c>
      <c r="CN56" s="323">
        <v>0</v>
      </c>
      <c r="CO56" s="323">
        <v>0</v>
      </c>
      <c r="CP56" s="329" t="s">
        <v>934</v>
      </c>
      <c r="CQ56" s="330">
        <v>138</v>
      </c>
      <c r="CR56" s="330">
        <v>75</v>
      </c>
      <c r="CS56" s="330">
        <v>153</v>
      </c>
      <c r="CT56" s="330">
        <v>194</v>
      </c>
      <c r="CU56" s="330">
        <v>170</v>
      </c>
      <c r="CV56" s="330">
        <v>145</v>
      </c>
      <c r="CW56" s="330">
        <v>122</v>
      </c>
      <c r="CX56" s="330">
        <v>59</v>
      </c>
      <c r="CY56" s="328">
        <v>1056</v>
      </c>
      <c r="CZ56" s="322" t="s">
        <v>934</v>
      </c>
      <c r="DA56" s="323">
        <v>0</v>
      </c>
      <c r="DB56" s="323">
        <v>0</v>
      </c>
      <c r="DC56" s="323">
        <v>0</v>
      </c>
      <c r="DD56" s="323">
        <v>0</v>
      </c>
      <c r="DE56" s="323">
        <v>0</v>
      </c>
      <c r="DF56" s="323">
        <v>0</v>
      </c>
      <c r="DG56" s="323">
        <v>0</v>
      </c>
      <c r="DH56" s="323">
        <v>0</v>
      </c>
      <c r="DI56" s="323">
        <v>0</v>
      </c>
      <c r="DJ56" s="337">
        <v>28.1</v>
      </c>
      <c r="DK56" s="644">
        <v>93845.1</v>
      </c>
      <c r="DL56" s="616">
        <v>2693</v>
      </c>
      <c r="DM56" s="616">
        <v>10226</v>
      </c>
      <c r="DN56" s="616">
        <v>19091</v>
      </c>
      <c r="DO56" s="616">
        <v>23995</v>
      </c>
      <c r="DP56" s="616">
        <v>16466</v>
      </c>
      <c r="DQ56" s="616">
        <v>10350</v>
      </c>
      <c r="DR56" s="616">
        <v>11658</v>
      </c>
      <c r="DS56" s="617">
        <v>4048</v>
      </c>
      <c r="DT56" s="607">
        <f t="shared" si="0"/>
        <v>98527</v>
      </c>
      <c r="DU56" s="342"/>
      <c r="EC56" s="646"/>
      <c r="EF56" s="125"/>
      <c r="EG56" s="124"/>
    </row>
    <row r="57" spans="1:137" ht="15">
      <c r="A57" s="22">
        <v>49</v>
      </c>
      <c r="B57" s="23" t="s">
        <v>229</v>
      </c>
      <c r="C57" s="24" t="s">
        <v>230</v>
      </c>
      <c r="D57" s="613"/>
      <c r="E57" s="628">
        <v>13707</v>
      </c>
      <c r="F57" s="628">
        <v>12426</v>
      </c>
      <c r="G57" s="628">
        <v>7180</v>
      </c>
      <c r="H57" s="628">
        <v>4430</v>
      </c>
      <c r="I57" s="628">
        <v>1673</v>
      </c>
      <c r="J57" s="628">
        <v>562</v>
      </c>
      <c r="K57" s="628">
        <v>256</v>
      </c>
      <c r="L57" s="628">
        <v>17</v>
      </c>
      <c r="M57" s="627">
        <v>40251</v>
      </c>
      <c r="N57" s="322"/>
      <c r="O57" s="323">
        <v>376</v>
      </c>
      <c r="P57" s="323">
        <v>183</v>
      </c>
      <c r="Q57" s="323">
        <v>100</v>
      </c>
      <c r="R57" s="323">
        <v>56</v>
      </c>
      <c r="S57" s="323">
        <v>24</v>
      </c>
      <c r="T57" s="323">
        <v>8</v>
      </c>
      <c r="U57" s="323">
        <v>7</v>
      </c>
      <c r="V57" s="323">
        <v>0</v>
      </c>
      <c r="W57" s="323">
        <v>754</v>
      </c>
      <c r="X57" s="329" t="s">
        <v>934</v>
      </c>
      <c r="Y57" s="330">
        <v>0</v>
      </c>
      <c r="Z57" s="330">
        <v>0</v>
      </c>
      <c r="AA57" s="330">
        <v>0</v>
      </c>
      <c r="AB57" s="330">
        <v>0</v>
      </c>
      <c r="AC57" s="330">
        <v>0</v>
      </c>
      <c r="AD57" s="330">
        <v>1</v>
      </c>
      <c r="AE57" s="330">
        <v>0</v>
      </c>
      <c r="AF57" s="330">
        <v>0</v>
      </c>
      <c r="AG57" s="328">
        <v>1</v>
      </c>
      <c r="AH57" s="329" t="s">
        <v>934</v>
      </c>
      <c r="AI57" s="184">
        <v>38</v>
      </c>
      <c r="AJ57" s="184">
        <v>108</v>
      </c>
      <c r="AK57" s="184">
        <v>67</v>
      </c>
      <c r="AL57" s="184">
        <v>45</v>
      </c>
      <c r="AM57" s="184">
        <v>15</v>
      </c>
      <c r="AN57" s="184">
        <v>5</v>
      </c>
      <c r="AO57" s="184">
        <v>14</v>
      </c>
      <c r="AP57" s="184">
        <v>10</v>
      </c>
      <c r="AQ57" s="336">
        <v>302</v>
      </c>
      <c r="AR57" s="323">
        <v>7</v>
      </c>
      <c r="AS57" s="323">
        <v>6178</v>
      </c>
      <c r="AT57" s="323">
        <v>3677</v>
      </c>
      <c r="AU57" s="323">
        <v>1556</v>
      </c>
      <c r="AV57" s="323">
        <v>627</v>
      </c>
      <c r="AW57" s="323">
        <v>237</v>
      </c>
      <c r="AX57" s="323">
        <v>73</v>
      </c>
      <c r="AY57" s="323">
        <v>29</v>
      </c>
      <c r="AZ57" s="323">
        <v>3</v>
      </c>
      <c r="BA57" s="323">
        <v>12387</v>
      </c>
      <c r="BB57" s="331">
        <v>0</v>
      </c>
      <c r="BC57" s="330">
        <v>89</v>
      </c>
      <c r="BD57" s="330">
        <v>88</v>
      </c>
      <c r="BE57" s="330">
        <v>41</v>
      </c>
      <c r="BF57" s="330">
        <v>31</v>
      </c>
      <c r="BG57" s="330">
        <v>6</v>
      </c>
      <c r="BH57" s="330">
        <v>2</v>
      </c>
      <c r="BI57" s="330">
        <v>0</v>
      </c>
      <c r="BJ57" s="330">
        <v>1</v>
      </c>
      <c r="BK57" s="328">
        <v>258</v>
      </c>
      <c r="BL57" s="323">
        <v>0</v>
      </c>
      <c r="BM57" s="323">
        <v>2</v>
      </c>
      <c r="BN57" s="323">
        <v>7</v>
      </c>
      <c r="BO57" s="323">
        <v>3</v>
      </c>
      <c r="BP57" s="323">
        <v>2</v>
      </c>
      <c r="BQ57" s="323">
        <v>2</v>
      </c>
      <c r="BR57" s="323">
        <v>8</v>
      </c>
      <c r="BS57" s="323">
        <v>9</v>
      </c>
      <c r="BT57" s="323">
        <v>0</v>
      </c>
      <c r="BU57" s="323">
        <v>33</v>
      </c>
      <c r="BV57" s="329" t="s">
        <v>934</v>
      </c>
      <c r="BW57" s="330">
        <v>2</v>
      </c>
      <c r="BX57" s="330">
        <v>2</v>
      </c>
      <c r="BY57" s="330">
        <v>0</v>
      </c>
      <c r="BZ57" s="330">
        <v>0</v>
      </c>
      <c r="CA57" s="330">
        <v>0</v>
      </c>
      <c r="CB57" s="330">
        <v>0</v>
      </c>
      <c r="CC57" s="330">
        <v>0</v>
      </c>
      <c r="CD57" s="330">
        <v>0</v>
      </c>
      <c r="CE57" s="328">
        <v>4</v>
      </c>
      <c r="CF57" s="322" t="s">
        <v>934</v>
      </c>
      <c r="CG57" s="323">
        <v>226</v>
      </c>
      <c r="CH57" s="323">
        <v>99</v>
      </c>
      <c r="CI57" s="323">
        <v>60</v>
      </c>
      <c r="CJ57" s="323">
        <v>28</v>
      </c>
      <c r="CK57" s="323">
        <v>11</v>
      </c>
      <c r="CL57" s="323">
        <v>3</v>
      </c>
      <c r="CM57" s="323">
        <v>4</v>
      </c>
      <c r="CN57" s="323">
        <v>0</v>
      </c>
      <c r="CO57" s="323">
        <v>431</v>
      </c>
      <c r="CP57" s="329" t="s">
        <v>934</v>
      </c>
      <c r="CQ57" s="330">
        <v>0</v>
      </c>
      <c r="CR57" s="330">
        <v>0</v>
      </c>
      <c r="CS57" s="330">
        <v>0</v>
      </c>
      <c r="CT57" s="330">
        <v>0</v>
      </c>
      <c r="CU57" s="330">
        <v>0</v>
      </c>
      <c r="CV57" s="330">
        <v>0</v>
      </c>
      <c r="CW57" s="330">
        <v>0</v>
      </c>
      <c r="CX57" s="330">
        <v>0</v>
      </c>
      <c r="CY57" s="328">
        <v>0</v>
      </c>
      <c r="CZ57" s="322" t="s">
        <v>934</v>
      </c>
      <c r="DA57" s="323">
        <v>0</v>
      </c>
      <c r="DB57" s="323">
        <v>0</v>
      </c>
      <c r="DC57" s="323">
        <v>0</v>
      </c>
      <c r="DD57" s="323">
        <v>0</v>
      </c>
      <c r="DE57" s="323">
        <v>0</v>
      </c>
      <c r="DF57" s="323">
        <v>0</v>
      </c>
      <c r="DG57" s="323">
        <v>0</v>
      </c>
      <c r="DH57" s="323">
        <v>0</v>
      </c>
      <c r="DI57" s="323">
        <v>0</v>
      </c>
      <c r="DJ57" s="337">
        <v>0</v>
      </c>
      <c r="DK57" s="644">
        <v>29699.9</v>
      </c>
      <c r="DL57" s="614">
        <v>13705</v>
      </c>
      <c r="DM57" s="614">
        <v>12643</v>
      </c>
      <c r="DN57" s="614">
        <v>7299</v>
      </c>
      <c r="DO57" s="614">
        <v>4533</v>
      </c>
      <c r="DP57" s="614">
        <v>1665</v>
      </c>
      <c r="DQ57" s="614">
        <v>556</v>
      </c>
      <c r="DR57" s="614">
        <v>255</v>
      </c>
      <c r="DS57" s="615">
        <v>17</v>
      </c>
      <c r="DT57" s="607">
        <f t="shared" si="0"/>
        <v>40673</v>
      </c>
      <c r="DU57" s="342"/>
      <c r="EC57" s="646"/>
      <c r="EF57" s="123"/>
      <c r="EG57" s="124"/>
    </row>
    <row r="58" spans="1:137" ht="15">
      <c r="A58" s="22">
        <v>50</v>
      </c>
      <c r="B58" s="23" t="s">
        <v>231</v>
      </c>
      <c r="C58" s="24" t="s">
        <v>232</v>
      </c>
      <c r="D58" s="613"/>
      <c r="E58" s="626">
        <v>5899</v>
      </c>
      <c r="F58" s="626">
        <v>12809</v>
      </c>
      <c r="G58" s="626">
        <v>19144</v>
      </c>
      <c r="H58" s="626">
        <v>11454</v>
      </c>
      <c r="I58" s="626">
        <v>6544</v>
      </c>
      <c r="J58" s="626">
        <v>3697</v>
      </c>
      <c r="K58" s="626">
        <v>1969</v>
      </c>
      <c r="L58" s="626">
        <v>109</v>
      </c>
      <c r="M58" s="627">
        <v>61625</v>
      </c>
      <c r="N58" s="322"/>
      <c r="O58" s="323">
        <v>546</v>
      </c>
      <c r="P58" s="323">
        <v>997</v>
      </c>
      <c r="Q58" s="323">
        <v>1736</v>
      </c>
      <c r="R58" s="323">
        <v>567</v>
      </c>
      <c r="S58" s="323">
        <v>231</v>
      </c>
      <c r="T58" s="323">
        <v>120</v>
      </c>
      <c r="U58" s="323">
        <v>57</v>
      </c>
      <c r="V58" s="323">
        <v>14</v>
      </c>
      <c r="W58" s="323">
        <v>4268</v>
      </c>
      <c r="X58" s="329" t="s">
        <v>934</v>
      </c>
      <c r="Y58" s="330">
        <v>4</v>
      </c>
      <c r="Z58" s="330">
        <v>1</v>
      </c>
      <c r="AA58" s="330">
        <v>1</v>
      </c>
      <c r="AB58" s="330">
        <v>3</v>
      </c>
      <c r="AC58" s="330">
        <v>0</v>
      </c>
      <c r="AD58" s="330">
        <v>2</v>
      </c>
      <c r="AE58" s="330">
        <v>0</v>
      </c>
      <c r="AF58" s="330">
        <v>0</v>
      </c>
      <c r="AG58" s="328">
        <v>11</v>
      </c>
      <c r="AH58" s="329" t="s">
        <v>934</v>
      </c>
      <c r="AI58" s="184">
        <v>5</v>
      </c>
      <c r="AJ58" s="184">
        <v>48</v>
      </c>
      <c r="AK58" s="184">
        <v>74</v>
      </c>
      <c r="AL58" s="184">
        <v>71</v>
      </c>
      <c r="AM58" s="184">
        <v>53</v>
      </c>
      <c r="AN58" s="184">
        <v>29</v>
      </c>
      <c r="AO58" s="184">
        <v>40</v>
      </c>
      <c r="AP58" s="184">
        <v>20</v>
      </c>
      <c r="AQ58" s="336">
        <v>340</v>
      </c>
      <c r="AR58" s="323">
        <v>4</v>
      </c>
      <c r="AS58" s="323">
        <v>3320</v>
      </c>
      <c r="AT58" s="323">
        <v>4949</v>
      </c>
      <c r="AU58" s="323">
        <v>5730</v>
      </c>
      <c r="AV58" s="323">
        <v>2822</v>
      </c>
      <c r="AW58" s="323">
        <v>1244</v>
      </c>
      <c r="AX58" s="323">
        <v>564</v>
      </c>
      <c r="AY58" s="323">
        <v>234</v>
      </c>
      <c r="AZ58" s="323">
        <v>4</v>
      </c>
      <c r="BA58" s="323">
        <v>18871</v>
      </c>
      <c r="BB58" s="331">
        <v>0</v>
      </c>
      <c r="BC58" s="330">
        <v>81</v>
      </c>
      <c r="BD58" s="330">
        <v>229</v>
      </c>
      <c r="BE58" s="330">
        <v>336</v>
      </c>
      <c r="BF58" s="330">
        <v>165</v>
      </c>
      <c r="BG58" s="330">
        <v>82</v>
      </c>
      <c r="BH58" s="330">
        <v>33</v>
      </c>
      <c r="BI58" s="330">
        <v>15</v>
      </c>
      <c r="BJ58" s="330">
        <v>0</v>
      </c>
      <c r="BK58" s="328">
        <v>941</v>
      </c>
      <c r="BL58" s="323">
        <v>0</v>
      </c>
      <c r="BM58" s="323">
        <v>3</v>
      </c>
      <c r="BN58" s="323">
        <v>3</v>
      </c>
      <c r="BO58" s="323">
        <v>6</v>
      </c>
      <c r="BP58" s="323">
        <v>13</v>
      </c>
      <c r="BQ58" s="323">
        <v>13</v>
      </c>
      <c r="BR58" s="323">
        <v>29</v>
      </c>
      <c r="BS58" s="323">
        <v>44</v>
      </c>
      <c r="BT58" s="323">
        <v>9</v>
      </c>
      <c r="BU58" s="323">
        <v>120</v>
      </c>
      <c r="BV58" s="329" t="s">
        <v>934</v>
      </c>
      <c r="BW58" s="330">
        <v>114</v>
      </c>
      <c r="BX58" s="330">
        <v>201</v>
      </c>
      <c r="BY58" s="330">
        <v>301</v>
      </c>
      <c r="BZ58" s="330">
        <v>167</v>
      </c>
      <c r="CA58" s="330">
        <v>105</v>
      </c>
      <c r="CB58" s="330">
        <v>52</v>
      </c>
      <c r="CC58" s="330">
        <v>43</v>
      </c>
      <c r="CD58" s="330">
        <v>3</v>
      </c>
      <c r="CE58" s="328">
        <v>986</v>
      </c>
      <c r="CF58" s="322" t="s">
        <v>934</v>
      </c>
      <c r="CG58" s="323">
        <v>0</v>
      </c>
      <c r="CH58" s="323">
        <v>0</v>
      </c>
      <c r="CI58" s="323">
        <v>0</v>
      </c>
      <c r="CJ58" s="323">
        <v>0</v>
      </c>
      <c r="CK58" s="323">
        <v>0</v>
      </c>
      <c r="CL58" s="323">
        <v>0</v>
      </c>
      <c r="CM58" s="323">
        <v>0</v>
      </c>
      <c r="CN58" s="323">
        <v>0</v>
      </c>
      <c r="CO58" s="323">
        <v>0</v>
      </c>
      <c r="CP58" s="329" t="s">
        <v>934</v>
      </c>
      <c r="CQ58" s="330">
        <v>0</v>
      </c>
      <c r="CR58" s="330">
        <v>0</v>
      </c>
      <c r="CS58" s="330">
        <v>0</v>
      </c>
      <c r="CT58" s="330">
        <v>0</v>
      </c>
      <c r="CU58" s="330">
        <v>0</v>
      </c>
      <c r="CV58" s="330">
        <v>0</v>
      </c>
      <c r="CW58" s="330">
        <v>0</v>
      </c>
      <c r="CX58" s="330">
        <v>0</v>
      </c>
      <c r="CY58" s="328">
        <v>0</v>
      </c>
      <c r="CZ58" s="322" t="s">
        <v>934</v>
      </c>
      <c r="DA58" s="323">
        <v>138</v>
      </c>
      <c r="DB58" s="323">
        <v>163</v>
      </c>
      <c r="DC58" s="323">
        <v>168</v>
      </c>
      <c r="DD58" s="323">
        <v>108</v>
      </c>
      <c r="DE58" s="323">
        <v>64</v>
      </c>
      <c r="DF58" s="323">
        <v>23</v>
      </c>
      <c r="DG58" s="323">
        <v>13</v>
      </c>
      <c r="DH58" s="323">
        <v>1</v>
      </c>
      <c r="DI58" s="323">
        <v>678</v>
      </c>
      <c r="DJ58" s="337">
        <v>0</v>
      </c>
      <c r="DK58" s="644">
        <v>50471.5</v>
      </c>
      <c r="DL58" s="614">
        <v>5913</v>
      </c>
      <c r="DM58" s="614">
        <v>12890</v>
      </c>
      <c r="DN58" s="614">
        <v>19334</v>
      </c>
      <c r="DO58" s="614">
        <v>11666</v>
      </c>
      <c r="DP58" s="614">
        <v>6632</v>
      </c>
      <c r="DQ58" s="614">
        <v>3739</v>
      </c>
      <c r="DR58" s="614">
        <v>1995</v>
      </c>
      <c r="DS58" s="615">
        <v>111</v>
      </c>
      <c r="DT58" s="607">
        <f t="shared" si="0"/>
        <v>62280</v>
      </c>
      <c r="DU58" s="342"/>
      <c r="EC58" s="646"/>
      <c r="EF58" s="123"/>
      <c r="EG58" s="124"/>
    </row>
    <row r="59" spans="1:137" ht="15">
      <c r="A59" s="22">
        <v>51</v>
      </c>
      <c r="B59" s="23" t="s">
        <v>233</v>
      </c>
      <c r="C59" s="24" t="s">
        <v>234</v>
      </c>
      <c r="D59" s="613"/>
      <c r="E59" s="629">
        <v>7167</v>
      </c>
      <c r="F59" s="629">
        <v>10845</v>
      </c>
      <c r="G59" s="629">
        <v>8312</v>
      </c>
      <c r="H59" s="629">
        <v>6227</v>
      </c>
      <c r="I59" s="629">
        <v>4097</v>
      </c>
      <c r="J59" s="629">
        <v>1293</v>
      </c>
      <c r="K59" s="629">
        <v>499</v>
      </c>
      <c r="L59" s="629">
        <v>30</v>
      </c>
      <c r="M59" s="627">
        <v>38470</v>
      </c>
      <c r="N59" s="322"/>
      <c r="O59" s="323">
        <v>345</v>
      </c>
      <c r="P59" s="323">
        <v>340</v>
      </c>
      <c r="Q59" s="323">
        <v>203</v>
      </c>
      <c r="R59" s="323">
        <v>111</v>
      </c>
      <c r="S59" s="323">
        <v>54</v>
      </c>
      <c r="T59" s="323">
        <v>26</v>
      </c>
      <c r="U59" s="323">
        <v>7</v>
      </c>
      <c r="V59" s="323">
        <v>3</v>
      </c>
      <c r="W59" s="323">
        <v>1089</v>
      </c>
      <c r="X59" s="329" t="s">
        <v>934</v>
      </c>
      <c r="Y59" s="330">
        <v>3</v>
      </c>
      <c r="Z59" s="330">
        <v>0</v>
      </c>
      <c r="AA59" s="330">
        <v>0</v>
      </c>
      <c r="AB59" s="330">
        <v>0</v>
      </c>
      <c r="AC59" s="330">
        <v>0</v>
      </c>
      <c r="AD59" s="330">
        <v>0</v>
      </c>
      <c r="AE59" s="330">
        <v>0</v>
      </c>
      <c r="AF59" s="330">
        <v>0</v>
      </c>
      <c r="AG59" s="328">
        <v>3</v>
      </c>
      <c r="AH59" s="329" t="s">
        <v>934</v>
      </c>
      <c r="AI59" s="184">
        <v>17</v>
      </c>
      <c r="AJ59" s="184">
        <v>53</v>
      </c>
      <c r="AK59" s="184">
        <v>68</v>
      </c>
      <c r="AL59" s="184">
        <v>74</v>
      </c>
      <c r="AM59" s="184">
        <v>40</v>
      </c>
      <c r="AN59" s="184">
        <v>20</v>
      </c>
      <c r="AO59" s="184">
        <v>20</v>
      </c>
      <c r="AP59" s="184">
        <v>3</v>
      </c>
      <c r="AQ59" s="336">
        <v>295</v>
      </c>
      <c r="AR59" s="323">
        <v>6</v>
      </c>
      <c r="AS59" s="323">
        <v>3371</v>
      </c>
      <c r="AT59" s="323">
        <v>3568</v>
      </c>
      <c r="AU59" s="323">
        <v>2156</v>
      </c>
      <c r="AV59" s="323">
        <v>1260</v>
      </c>
      <c r="AW59" s="323">
        <v>621</v>
      </c>
      <c r="AX59" s="323">
        <v>158</v>
      </c>
      <c r="AY59" s="323">
        <v>46</v>
      </c>
      <c r="AZ59" s="323">
        <v>2</v>
      </c>
      <c r="BA59" s="323">
        <v>11188</v>
      </c>
      <c r="BB59" s="331">
        <v>1</v>
      </c>
      <c r="BC59" s="330">
        <v>37</v>
      </c>
      <c r="BD59" s="330">
        <v>87</v>
      </c>
      <c r="BE59" s="330">
        <v>56</v>
      </c>
      <c r="BF59" s="330">
        <v>38</v>
      </c>
      <c r="BG59" s="330">
        <v>21</v>
      </c>
      <c r="BH59" s="330">
        <v>5</v>
      </c>
      <c r="BI59" s="330">
        <v>3</v>
      </c>
      <c r="BJ59" s="330">
        <v>0</v>
      </c>
      <c r="BK59" s="328">
        <v>248</v>
      </c>
      <c r="BL59" s="323">
        <v>0</v>
      </c>
      <c r="BM59" s="323">
        <v>2</v>
      </c>
      <c r="BN59" s="323">
        <v>2</v>
      </c>
      <c r="BO59" s="323">
        <v>4</v>
      </c>
      <c r="BP59" s="323">
        <v>3</v>
      </c>
      <c r="BQ59" s="323">
        <v>6</v>
      </c>
      <c r="BR59" s="323">
        <v>20</v>
      </c>
      <c r="BS59" s="323">
        <v>13</v>
      </c>
      <c r="BT59" s="323">
        <v>1</v>
      </c>
      <c r="BU59" s="323">
        <v>51</v>
      </c>
      <c r="BV59" s="329" t="s">
        <v>934</v>
      </c>
      <c r="BW59" s="330">
        <v>681</v>
      </c>
      <c r="BX59" s="330">
        <v>323</v>
      </c>
      <c r="BY59" s="330">
        <v>275</v>
      </c>
      <c r="BZ59" s="330">
        <v>237</v>
      </c>
      <c r="CA59" s="330">
        <v>212</v>
      </c>
      <c r="CB59" s="330">
        <v>61</v>
      </c>
      <c r="CC59" s="330">
        <v>42</v>
      </c>
      <c r="CD59" s="330">
        <v>2</v>
      </c>
      <c r="CE59" s="328">
        <v>1833</v>
      </c>
      <c r="CF59" s="322" t="s">
        <v>934</v>
      </c>
      <c r="CG59" s="323">
        <v>0</v>
      </c>
      <c r="CH59" s="323">
        <v>0</v>
      </c>
      <c r="CI59" s="323">
        <v>0</v>
      </c>
      <c r="CJ59" s="323">
        <v>0</v>
      </c>
      <c r="CK59" s="323">
        <v>0</v>
      </c>
      <c r="CL59" s="323">
        <v>0</v>
      </c>
      <c r="CM59" s="323">
        <v>0</v>
      </c>
      <c r="CN59" s="323">
        <v>0</v>
      </c>
      <c r="CO59" s="323">
        <v>0</v>
      </c>
      <c r="CP59" s="329" t="s">
        <v>934</v>
      </c>
      <c r="CQ59" s="330">
        <v>165</v>
      </c>
      <c r="CR59" s="330">
        <v>123</v>
      </c>
      <c r="CS59" s="330">
        <v>86</v>
      </c>
      <c r="CT59" s="330">
        <v>59</v>
      </c>
      <c r="CU59" s="330">
        <v>40</v>
      </c>
      <c r="CV59" s="330">
        <v>14</v>
      </c>
      <c r="CW59" s="330">
        <v>5</v>
      </c>
      <c r="CX59" s="330">
        <v>1</v>
      </c>
      <c r="CY59" s="328">
        <v>493</v>
      </c>
      <c r="CZ59" s="322" t="s">
        <v>934</v>
      </c>
      <c r="DA59" s="323">
        <v>0</v>
      </c>
      <c r="DB59" s="323">
        <v>0</v>
      </c>
      <c r="DC59" s="323">
        <v>0</v>
      </c>
      <c r="DD59" s="323">
        <v>0</v>
      </c>
      <c r="DE59" s="323">
        <v>0</v>
      </c>
      <c r="DF59" s="323">
        <v>0</v>
      </c>
      <c r="DG59" s="323">
        <v>0</v>
      </c>
      <c r="DH59" s="323">
        <v>0</v>
      </c>
      <c r="DI59" s="323">
        <v>0</v>
      </c>
      <c r="DJ59" s="337">
        <v>104</v>
      </c>
      <c r="DK59" s="644">
        <v>30508.6</v>
      </c>
      <c r="DL59" s="616">
        <v>7254</v>
      </c>
      <c r="DM59" s="616">
        <v>10946</v>
      </c>
      <c r="DN59" s="616">
        <v>8351</v>
      </c>
      <c r="DO59" s="616">
        <v>6279</v>
      </c>
      <c r="DP59" s="616">
        <v>4110</v>
      </c>
      <c r="DQ59" s="616">
        <v>1308</v>
      </c>
      <c r="DR59" s="616">
        <v>501</v>
      </c>
      <c r="DS59" s="617">
        <v>32</v>
      </c>
      <c r="DT59" s="607">
        <f t="shared" si="0"/>
        <v>38781</v>
      </c>
      <c r="DU59" s="342"/>
      <c r="EC59" s="646"/>
      <c r="EF59" s="125"/>
      <c r="EG59" s="124"/>
    </row>
    <row r="60" spans="1:137" ht="15">
      <c r="A60" s="22">
        <v>52</v>
      </c>
      <c r="B60" s="23" t="s">
        <v>235</v>
      </c>
      <c r="C60" s="24" t="s">
        <v>236</v>
      </c>
      <c r="D60" s="613"/>
      <c r="E60" s="628">
        <v>21999</v>
      </c>
      <c r="F60" s="628">
        <v>10908</v>
      </c>
      <c r="G60" s="628">
        <v>6725</v>
      </c>
      <c r="H60" s="628">
        <v>4853</v>
      </c>
      <c r="I60" s="628">
        <v>2446</v>
      </c>
      <c r="J60" s="628">
        <v>946</v>
      </c>
      <c r="K60" s="628">
        <v>322</v>
      </c>
      <c r="L60" s="628">
        <v>29</v>
      </c>
      <c r="M60" s="627">
        <v>48228</v>
      </c>
      <c r="N60" s="322"/>
      <c r="O60" s="323">
        <v>796</v>
      </c>
      <c r="P60" s="323">
        <v>284</v>
      </c>
      <c r="Q60" s="323">
        <v>158</v>
      </c>
      <c r="R60" s="323">
        <v>118</v>
      </c>
      <c r="S60" s="323">
        <v>43</v>
      </c>
      <c r="T60" s="323">
        <v>17</v>
      </c>
      <c r="U60" s="323">
        <v>5</v>
      </c>
      <c r="V60" s="323">
        <v>1</v>
      </c>
      <c r="W60" s="323">
        <v>1422</v>
      </c>
      <c r="X60" s="329" t="s">
        <v>934</v>
      </c>
      <c r="Y60" s="330">
        <v>25</v>
      </c>
      <c r="Z60" s="330">
        <v>3</v>
      </c>
      <c r="AA60" s="330">
        <v>0</v>
      </c>
      <c r="AB60" s="330">
        <v>1</v>
      </c>
      <c r="AC60" s="330">
        <v>0</v>
      </c>
      <c r="AD60" s="330">
        <v>0</v>
      </c>
      <c r="AE60" s="330">
        <v>0</v>
      </c>
      <c r="AF60" s="330">
        <v>0</v>
      </c>
      <c r="AG60" s="328">
        <v>29</v>
      </c>
      <c r="AH60" s="329" t="s">
        <v>934</v>
      </c>
      <c r="AI60" s="184">
        <v>41</v>
      </c>
      <c r="AJ60" s="184">
        <v>40</v>
      </c>
      <c r="AK60" s="184">
        <v>43</v>
      </c>
      <c r="AL60" s="184">
        <v>31</v>
      </c>
      <c r="AM60" s="184">
        <v>22</v>
      </c>
      <c r="AN60" s="184">
        <v>8</v>
      </c>
      <c r="AO60" s="184">
        <v>4</v>
      </c>
      <c r="AP60" s="184">
        <v>6</v>
      </c>
      <c r="AQ60" s="336">
        <v>195</v>
      </c>
      <c r="AR60" s="323">
        <v>7</v>
      </c>
      <c r="AS60" s="323">
        <v>10235</v>
      </c>
      <c r="AT60" s="323">
        <v>3280</v>
      </c>
      <c r="AU60" s="323">
        <v>1770</v>
      </c>
      <c r="AV60" s="323">
        <v>921</v>
      </c>
      <c r="AW60" s="323">
        <v>352</v>
      </c>
      <c r="AX60" s="323">
        <v>128</v>
      </c>
      <c r="AY60" s="323">
        <v>38</v>
      </c>
      <c r="AZ60" s="323">
        <v>1</v>
      </c>
      <c r="BA60" s="323">
        <v>16732</v>
      </c>
      <c r="BB60" s="331">
        <v>0</v>
      </c>
      <c r="BC60" s="330">
        <v>152</v>
      </c>
      <c r="BD60" s="330">
        <v>79</v>
      </c>
      <c r="BE60" s="330">
        <v>50</v>
      </c>
      <c r="BF60" s="330">
        <v>27</v>
      </c>
      <c r="BG60" s="330">
        <v>18</v>
      </c>
      <c r="BH60" s="330">
        <v>5</v>
      </c>
      <c r="BI60" s="330">
        <v>2</v>
      </c>
      <c r="BJ60" s="330">
        <v>0</v>
      </c>
      <c r="BK60" s="328">
        <v>333</v>
      </c>
      <c r="BL60" s="323">
        <v>0</v>
      </c>
      <c r="BM60" s="323">
        <v>9</v>
      </c>
      <c r="BN60" s="323">
        <v>3</v>
      </c>
      <c r="BO60" s="323">
        <v>2</v>
      </c>
      <c r="BP60" s="323">
        <v>3</v>
      </c>
      <c r="BQ60" s="323">
        <v>6</v>
      </c>
      <c r="BR60" s="323">
        <v>7</v>
      </c>
      <c r="BS60" s="323">
        <v>13</v>
      </c>
      <c r="BT60" s="323">
        <v>6</v>
      </c>
      <c r="BU60" s="323">
        <v>49</v>
      </c>
      <c r="BV60" s="329" t="s">
        <v>934</v>
      </c>
      <c r="BW60" s="330">
        <v>254</v>
      </c>
      <c r="BX60" s="330">
        <v>133</v>
      </c>
      <c r="BY60" s="330">
        <v>100</v>
      </c>
      <c r="BZ60" s="330">
        <v>35</v>
      </c>
      <c r="CA60" s="330">
        <v>22</v>
      </c>
      <c r="CB60" s="330">
        <v>10</v>
      </c>
      <c r="CC60" s="330">
        <v>5</v>
      </c>
      <c r="CD60" s="330">
        <v>0</v>
      </c>
      <c r="CE60" s="328">
        <v>559</v>
      </c>
      <c r="CF60" s="322" t="s">
        <v>934</v>
      </c>
      <c r="CG60" s="323">
        <v>442</v>
      </c>
      <c r="CH60" s="323">
        <v>140</v>
      </c>
      <c r="CI60" s="323">
        <v>63</v>
      </c>
      <c r="CJ60" s="323">
        <v>52</v>
      </c>
      <c r="CK60" s="323">
        <v>32</v>
      </c>
      <c r="CL60" s="323">
        <v>9</v>
      </c>
      <c r="CM60" s="323">
        <v>6</v>
      </c>
      <c r="CN60" s="323">
        <v>1</v>
      </c>
      <c r="CO60" s="323">
        <v>745</v>
      </c>
      <c r="CP60" s="329" t="s">
        <v>934</v>
      </c>
      <c r="CQ60" s="330">
        <v>0</v>
      </c>
      <c r="CR60" s="330">
        <v>0</v>
      </c>
      <c r="CS60" s="330">
        <v>0</v>
      </c>
      <c r="CT60" s="330">
        <v>0</v>
      </c>
      <c r="CU60" s="330">
        <v>0</v>
      </c>
      <c r="CV60" s="330">
        <v>0</v>
      </c>
      <c r="CW60" s="330">
        <v>0</v>
      </c>
      <c r="CX60" s="330">
        <v>0</v>
      </c>
      <c r="CY60" s="328">
        <v>0</v>
      </c>
      <c r="CZ60" s="322" t="s">
        <v>934</v>
      </c>
      <c r="DA60" s="323">
        <v>0</v>
      </c>
      <c r="DB60" s="323">
        <v>0</v>
      </c>
      <c r="DC60" s="323">
        <v>0</v>
      </c>
      <c r="DD60" s="323">
        <v>0</v>
      </c>
      <c r="DE60" s="323">
        <v>0</v>
      </c>
      <c r="DF60" s="323">
        <v>0</v>
      </c>
      <c r="DG60" s="323">
        <v>0</v>
      </c>
      <c r="DH60" s="323">
        <v>0</v>
      </c>
      <c r="DI60" s="323">
        <v>0</v>
      </c>
      <c r="DJ60" s="337">
        <v>0</v>
      </c>
      <c r="DK60" s="644">
        <v>34071.2</v>
      </c>
      <c r="DL60" s="614">
        <v>22008</v>
      </c>
      <c r="DM60" s="614">
        <v>10975</v>
      </c>
      <c r="DN60" s="614">
        <v>6854</v>
      </c>
      <c r="DO60" s="614">
        <v>4978</v>
      </c>
      <c r="DP60" s="614">
        <v>2447</v>
      </c>
      <c r="DQ60" s="614">
        <v>960</v>
      </c>
      <c r="DR60" s="614">
        <v>327</v>
      </c>
      <c r="DS60" s="615">
        <v>29</v>
      </c>
      <c r="DT60" s="607">
        <f t="shared" si="0"/>
        <v>48578</v>
      </c>
      <c r="DU60" s="342"/>
      <c r="EC60" s="646"/>
      <c r="EF60" s="123"/>
      <c r="EG60" s="124"/>
    </row>
    <row r="61" spans="1:137" ht="15">
      <c r="A61" s="22">
        <v>53</v>
      </c>
      <c r="B61" s="23" t="s">
        <v>237</v>
      </c>
      <c r="C61" s="24" t="s">
        <v>238</v>
      </c>
      <c r="D61" s="613"/>
      <c r="E61" s="629">
        <v>7267</v>
      </c>
      <c r="F61" s="629">
        <v>9657</v>
      </c>
      <c r="G61" s="629">
        <v>9833</v>
      </c>
      <c r="H61" s="629">
        <v>6918</v>
      </c>
      <c r="I61" s="629">
        <v>4810</v>
      </c>
      <c r="J61" s="629">
        <v>2139</v>
      </c>
      <c r="K61" s="629">
        <v>1171</v>
      </c>
      <c r="L61" s="629">
        <v>121</v>
      </c>
      <c r="M61" s="627">
        <v>41916</v>
      </c>
      <c r="N61" s="322"/>
      <c r="O61" s="323">
        <v>385</v>
      </c>
      <c r="P61" s="323">
        <v>398</v>
      </c>
      <c r="Q61" s="323">
        <v>317</v>
      </c>
      <c r="R61" s="323">
        <v>143</v>
      </c>
      <c r="S61" s="323">
        <v>77</v>
      </c>
      <c r="T61" s="323">
        <v>29</v>
      </c>
      <c r="U61" s="323">
        <v>21</v>
      </c>
      <c r="V61" s="323">
        <v>4</v>
      </c>
      <c r="W61" s="323">
        <v>1374</v>
      </c>
      <c r="X61" s="329" t="s">
        <v>934</v>
      </c>
      <c r="Y61" s="330">
        <v>9</v>
      </c>
      <c r="Z61" s="330">
        <v>1</v>
      </c>
      <c r="AA61" s="330">
        <v>3</v>
      </c>
      <c r="AB61" s="330">
        <v>2</v>
      </c>
      <c r="AC61" s="330">
        <v>1</v>
      </c>
      <c r="AD61" s="330">
        <v>3</v>
      </c>
      <c r="AE61" s="330">
        <v>0</v>
      </c>
      <c r="AF61" s="330">
        <v>0</v>
      </c>
      <c r="AG61" s="328">
        <v>19</v>
      </c>
      <c r="AH61" s="329" t="s">
        <v>934</v>
      </c>
      <c r="AI61" s="184">
        <v>14</v>
      </c>
      <c r="AJ61" s="184">
        <v>44</v>
      </c>
      <c r="AK61" s="184">
        <v>56</v>
      </c>
      <c r="AL61" s="184">
        <v>52</v>
      </c>
      <c r="AM61" s="184">
        <v>57</v>
      </c>
      <c r="AN61" s="184">
        <v>23</v>
      </c>
      <c r="AO61" s="184">
        <v>22</v>
      </c>
      <c r="AP61" s="184">
        <v>8</v>
      </c>
      <c r="AQ61" s="336">
        <v>276</v>
      </c>
      <c r="AR61" s="323">
        <v>4</v>
      </c>
      <c r="AS61" s="323">
        <v>3673</v>
      </c>
      <c r="AT61" s="323">
        <v>3651</v>
      </c>
      <c r="AU61" s="323">
        <v>2961</v>
      </c>
      <c r="AV61" s="323">
        <v>1807</v>
      </c>
      <c r="AW61" s="323">
        <v>957</v>
      </c>
      <c r="AX61" s="323">
        <v>370</v>
      </c>
      <c r="AY61" s="323">
        <v>173</v>
      </c>
      <c r="AZ61" s="323">
        <v>13</v>
      </c>
      <c r="BA61" s="323">
        <v>13609</v>
      </c>
      <c r="BB61" s="331">
        <v>0</v>
      </c>
      <c r="BC61" s="330">
        <v>36</v>
      </c>
      <c r="BD61" s="330">
        <v>49</v>
      </c>
      <c r="BE61" s="330">
        <v>54</v>
      </c>
      <c r="BF61" s="330">
        <v>39</v>
      </c>
      <c r="BG61" s="330">
        <v>21</v>
      </c>
      <c r="BH61" s="330">
        <v>11</v>
      </c>
      <c r="BI61" s="330">
        <v>3</v>
      </c>
      <c r="BJ61" s="330">
        <v>0</v>
      </c>
      <c r="BK61" s="328">
        <v>213</v>
      </c>
      <c r="BL61" s="323">
        <v>0</v>
      </c>
      <c r="BM61" s="323">
        <v>1</v>
      </c>
      <c r="BN61" s="323">
        <v>1</v>
      </c>
      <c r="BO61" s="323">
        <v>8</v>
      </c>
      <c r="BP61" s="323">
        <v>14</v>
      </c>
      <c r="BQ61" s="323">
        <v>10</v>
      </c>
      <c r="BR61" s="323">
        <v>15</v>
      </c>
      <c r="BS61" s="323">
        <v>20</v>
      </c>
      <c r="BT61" s="323">
        <v>4</v>
      </c>
      <c r="BU61" s="323">
        <v>73</v>
      </c>
      <c r="BV61" s="329" t="s">
        <v>934</v>
      </c>
      <c r="BW61" s="330">
        <v>312</v>
      </c>
      <c r="BX61" s="330">
        <v>266</v>
      </c>
      <c r="BY61" s="330">
        <v>334</v>
      </c>
      <c r="BZ61" s="330">
        <v>342</v>
      </c>
      <c r="CA61" s="330">
        <v>273</v>
      </c>
      <c r="CB61" s="330">
        <v>175</v>
      </c>
      <c r="CC61" s="330">
        <v>131</v>
      </c>
      <c r="CD61" s="330">
        <v>23</v>
      </c>
      <c r="CE61" s="328">
        <v>1856</v>
      </c>
      <c r="CF61" s="322" t="s">
        <v>934</v>
      </c>
      <c r="CG61" s="323">
        <v>0</v>
      </c>
      <c r="CH61" s="323">
        <v>0</v>
      </c>
      <c r="CI61" s="323">
        <v>0</v>
      </c>
      <c r="CJ61" s="323">
        <v>0</v>
      </c>
      <c r="CK61" s="323">
        <v>0</v>
      </c>
      <c r="CL61" s="323">
        <v>0</v>
      </c>
      <c r="CM61" s="323">
        <v>0</v>
      </c>
      <c r="CN61" s="323">
        <v>0</v>
      </c>
      <c r="CO61" s="323">
        <v>0</v>
      </c>
      <c r="CP61" s="329" t="s">
        <v>934</v>
      </c>
      <c r="CQ61" s="330">
        <v>110</v>
      </c>
      <c r="CR61" s="330">
        <v>101</v>
      </c>
      <c r="CS61" s="330">
        <v>88</v>
      </c>
      <c r="CT61" s="330">
        <v>65</v>
      </c>
      <c r="CU61" s="330">
        <v>54</v>
      </c>
      <c r="CV61" s="330">
        <v>30</v>
      </c>
      <c r="CW61" s="330">
        <v>24</v>
      </c>
      <c r="CX61" s="330">
        <v>3</v>
      </c>
      <c r="CY61" s="328">
        <v>475</v>
      </c>
      <c r="CZ61" s="322" t="s">
        <v>934</v>
      </c>
      <c r="DA61" s="323">
        <v>0</v>
      </c>
      <c r="DB61" s="323">
        <v>0</v>
      </c>
      <c r="DC61" s="323">
        <v>0</v>
      </c>
      <c r="DD61" s="323">
        <v>0</v>
      </c>
      <c r="DE61" s="323">
        <v>0</v>
      </c>
      <c r="DF61" s="323">
        <v>0</v>
      </c>
      <c r="DG61" s="323">
        <v>0</v>
      </c>
      <c r="DH61" s="323">
        <v>0</v>
      </c>
      <c r="DI61" s="323">
        <v>0</v>
      </c>
      <c r="DJ61" s="337">
        <v>12.3</v>
      </c>
      <c r="DK61" s="644">
        <v>33971.3</v>
      </c>
      <c r="DL61" s="616">
        <v>7364</v>
      </c>
      <c r="DM61" s="616">
        <v>9796</v>
      </c>
      <c r="DN61" s="616">
        <v>9958</v>
      </c>
      <c r="DO61" s="616">
        <v>7025</v>
      </c>
      <c r="DP61" s="616">
        <v>4905</v>
      </c>
      <c r="DQ61" s="616">
        <v>2176</v>
      </c>
      <c r="DR61" s="616">
        <v>1187</v>
      </c>
      <c r="DS61" s="617">
        <v>123</v>
      </c>
      <c r="DT61" s="607">
        <f t="shared" si="0"/>
        <v>42534</v>
      </c>
      <c r="DU61" s="342"/>
      <c r="EC61" s="646"/>
      <c r="EF61" s="125"/>
      <c r="EG61" s="124"/>
    </row>
    <row r="62" spans="1:137" ht="15">
      <c r="A62" s="22">
        <v>54</v>
      </c>
      <c r="B62" s="23" t="s">
        <v>239</v>
      </c>
      <c r="C62" s="24" t="s">
        <v>240</v>
      </c>
      <c r="D62" s="613"/>
      <c r="E62" s="629">
        <v>6182</v>
      </c>
      <c r="F62" s="629">
        <v>2561</v>
      </c>
      <c r="G62" s="629">
        <v>3277</v>
      </c>
      <c r="H62" s="629">
        <v>3054</v>
      </c>
      <c r="I62" s="629">
        <v>2535</v>
      </c>
      <c r="J62" s="629">
        <v>2446</v>
      </c>
      <c r="K62" s="629">
        <v>1511</v>
      </c>
      <c r="L62" s="629">
        <v>170</v>
      </c>
      <c r="M62" s="627">
        <v>21736</v>
      </c>
      <c r="N62" s="322"/>
      <c r="O62" s="323">
        <v>264</v>
      </c>
      <c r="P62" s="323">
        <v>91</v>
      </c>
      <c r="Q62" s="323">
        <v>78</v>
      </c>
      <c r="R62" s="323">
        <v>63</v>
      </c>
      <c r="S62" s="323">
        <v>47</v>
      </c>
      <c r="T62" s="323">
        <v>44</v>
      </c>
      <c r="U62" s="323">
        <v>17</v>
      </c>
      <c r="V62" s="323">
        <v>5</v>
      </c>
      <c r="W62" s="323">
        <v>609</v>
      </c>
      <c r="X62" s="329" t="s">
        <v>934</v>
      </c>
      <c r="Y62" s="330">
        <v>53</v>
      </c>
      <c r="Z62" s="330">
        <v>1</v>
      </c>
      <c r="AA62" s="330">
        <v>0</v>
      </c>
      <c r="AB62" s="330">
        <v>1</v>
      </c>
      <c r="AC62" s="330">
        <v>0</v>
      </c>
      <c r="AD62" s="330">
        <v>4</v>
      </c>
      <c r="AE62" s="330">
        <v>2</v>
      </c>
      <c r="AF62" s="330">
        <v>0</v>
      </c>
      <c r="AG62" s="328">
        <v>61</v>
      </c>
      <c r="AH62" s="329" t="s">
        <v>934</v>
      </c>
      <c r="AI62" s="184">
        <v>13</v>
      </c>
      <c r="AJ62" s="184">
        <v>15</v>
      </c>
      <c r="AK62" s="184">
        <v>15</v>
      </c>
      <c r="AL62" s="184">
        <v>29</v>
      </c>
      <c r="AM62" s="184">
        <v>29</v>
      </c>
      <c r="AN62" s="184">
        <v>29</v>
      </c>
      <c r="AO62" s="184">
        <v>15</v>
      </c>
      <c r="AP62" s="184">
        <v>4</v>
      </c>
      <c r="AQ62" s="336">
        <v>149</v>
      </c>
      <c r="AR62" s="323">
        <v>1</v>
      </c>
      <c r="AS62" s="323">
        <v>2619</v>
      </c>
      <c r="AT62" s="323">
        <v>856</v>
      </c>
      <c r="AU62" s="323">
        <v>1012</v>
      </c>
      <c r="AV62" s="323">
        <v>758</v>
      </c>
      <c r="AW62" s="323">
        <v>482</v>
      </c>
      <c r="AX62" s="323">
        <v>353</v>
      </c>
      <c r="AY62" s="323">
        <v>150</v>
      </c>
      <c r="AZ62" s="323">
        <v>3</v>
      </c>
      <c r="BA62" s="323">
        <v>6234</v>
      </c>
      <c r="BB62" s="331">
        <v>1</v>
      </c>
      <c r="BC62" s="330">
        <v>35</v>
      </c>
      <c r="BD62" s="330">
        <v>14</v>
      </c>
      <c r="BE62" s="330">
        <v>19</v>
      </c>
      <c r="BF62" s="330">
        <v>19</v>
      </c>
      <c r="BG62" s="330">
        <v>11</v>
      </c>
      <c r="BH62" s="330">
        <v>6</v>
      </c>
      <c r="BI62" s="330">
        <v>10</v>
      </c>
      <c r="BJ62" s="330">
        <v>2</v>
      </c>
      <c r="BK62" s="328">
        <v>117</v>
      </c>
      <c r="BL62" s="323">
        <v>0</v>
      </c>
      <c r="BM62" s="323">
        <v>2</v>
      </c>
      <c r="BN62" s="323">
        <v>3</v>
      </c>
      <c r="BO62" s="323">
        <v>3</v>
      </c>
      <c r="BP62" s="323">
        <v>3</v>
      </c>
      <c r="BQ62" s="323">
        <v>3</v>
      </c>
      <c r="BR62" s="323">
        <v>4</v>
      </c>
      <c r="BS62" s="323">
        <v>5</v>
      </c>
      <c r="BT62" s="323">
        <v>8</v>
      </c>
      <c r="BU62" s="323">
        <v>31</v>
      </c>
      <c r="BV62" s="329" t="s">
        <v>934</v>
      </c>
      <c r="BW62" s="330">
        <v>58</v>
      </c>
      <c r="BX62" s="330">
        <v>25</v>
      </c>
      <c r="BY62" s="330">
        <v>36</v>
      </c>
      <c r="BZ62" s="330">
        <v>32</v>
      </c>
      <c r="CA62" s="330">
        <v>16</v>
      </c>
      <c r="CB62" s="330">
        <v>11</v>
      </c>
      <c r="CC62" s="330">
        <v>7</v>
      </c>
      <c r="CD62" s="330">
        <v>4</v>
      </c>
      <c r="CE62" s="328">
        <v>189</v>
      </c>
      <c r="CF62" s="322" t="s">
        <v>934</v>
      </c>
      <c r="CG62" s="323">
        <v>5</v>
      </c>
      <c r="CH62" s="323">
        <v>0</v>
      </c>
      <c r="CI62" s="323">
        <v>0</v>
      </c>
      <c r="CJ62" s="323">
        <v>2</v>
      </c>
      <c r="CK62" s="323">
        <v>1</v>
      </c>
      <c r="CL62" s="323">
        <v>0</v>
      </c>
      <c r="CM62" s="323">
        <v>0</v>
      </c>
      <c r="CN62" s="323">
        <v>0</v>
      </c>
      <c r="CO62" s="323">
        <v>8</v>
      </c>
      <c r="CP62" s="329" t="s">
        <v>934</v>
      </c>
      <c r="CQ62" s="330">
        <v>188</v>
      </c>
      <c r="CR62" s="330">
        <v>29</v>
      </c>
      <c r="CS62" s="330">
        <v>27</v>
      </c>
      <c r="CT62" s="330">
        <v>22</v>
      </c>
      <c r="CU62" s="330">
        <v>14</v>
      </c>
      <c r="CV62" s="330">
        <v>11</v>
      </c>
      <c r="CW62" s="330">
        <v>5</v>
      </c>
      <c r="CX62" s="330">
        <v>4</v>
      </c>
      <c r="CY62" s="328">
        <v>300</v>
      </c>
      <c r="CZ62" s="322" t="s">
        <v>934</v>
      </c>
      <c r="DA62" s="323">
        <v>0</v>
      </c>
      <c r="DB62" s="323">
        <v>0</v>
      </c>
      <c r="DC62" s="323">
        <v>0</v>
      </c>
      <c r="DD62" s="323">
        <v>0</v>
      </c>
      <c r="DE62" s="323">
        <v>0</v>
      </c>
      <c r="DF62" s="323">
        <v>0</v>
      </c>
      <c r="DG62" s="323">
        <v>0</v>
      </c>
      <c r="DH62" s="323">
        <v>0</v>
      </c>
      <c r="DI62" s="323">
        <v>0</v>
      </c>
      <c r="DJ62" s="337">
        <v>52.3</v>
      </c>
      <c r="DK62" s="644">
        <v>19514</v>
      </c>
      <c r="DL62" s="616">
        <v>6131</v>
      </c>
      <c r="DM62" s="616">
        <v>2603</v>
      </c>
      <c r="DN62" s="616">
        <v>3352</v>
      </c>
      <c r="DO62" s="616">
        <v>3098</v>
      </c>
      <c r="DP62" s="616">
        <v>2558</v>
      </c>
      <c r="DQ62" s="616">
        <v>2446</v>
      </c>
      <c r="DR62" s="616">
        <v>1528</v>
      </c>
      <c r="DS62" s="617">
        <v>178</v>
      </c>
      <c r="DT62" s="607">
        <f t="shared" si="0"/>
        <v>21894</v>
      </c>
      <c r="DU62" s="342"/>
      <c r="EC62" s="646"/>
      <c r="EF62" s="125"/>
      <c r="EG62" s="124"/>
    </row>
    <row r="63" spans="1:137" ht="15">
      <c r="A63" s="22">
        <v>55</v>
      </c>
      <c r="B63" s="23" t="s">
        <v>241</v>
      </c>
      <c r="C63" s="24" t="s">
        <v>242</v>
      </c>
      <c r="D63" s="613"/>
      <c r="E63" s="628">
        <v>1966</v>
      </c>
      <c r="F63" s="628">
        <v>6060</v>
      </c>
      <c r="G63" s="628">
        <v>13547</v>
      </c>
      <c r="H63" s="628">
        <v>8388</v>
      </c>
      <c r="I63" s="628">
        <v>4214</v>
      </c>
      <c r="J63" s="628">
        <v>1713</v>
      </c>
      <c r="K63" s="628">
        <v>571</v>
      </c>
      <c r="L63" s="628">
        <v>64</v>
      </c>
      <c r="M63" s="627">
        <v>36523</v>
      </c>
      <c r="N63" s="322"/>
      <c r="O63" s="323">
        <v>46</v>
      </c>
      <c r="P63" s="323">
        <v>166</v>
      </c>
      <c r="Q63" s="323">
        <v>199</v>
      </c>
      <c r="R63" s="323">
        <v>87</v>
      </c>
      <c r="S63" s="323">
        <v>38</v>
      </c>
      <c r="T63" s="323">
        <v>23</v>
      </c>
      <c r="U63" s="323">
        <v>6</v>
      </c>
      <c r="V63" s="323">
        <v>1</v>
      </c>
      <c r="W63" s="323">
        <v>566</v>
      </c>
      <c r="X63" s="329" t="s">
        <v>934</v>
      </c>
      <c r="Y63" s="330">
        <v>0</v>
      </c>
      <c r="Z63" s="330">
        <v>0</v>
      </c>
      <c r="AA63" s="330">
        <v>0</v>
      </c>
      <c r="AB63" s="330">
        <v>0</v>
      </c>
      <c r="AC63" s="330">
        <v>0</v>
      </c>
      <c r="AD63" s="330">
        <v>0</v>
      </c>
      <c r="AE63" s="330">
        <v>0</v>
      </c>
      <c r="AF63" s="330">
        <v>0</v>
      </c>
      <c r="AG63" s="328">
        <v>0</v>
      </c>
      <c r="AH63" s="329" t="s">
        <v>934</v>
      </c>
      <c r="AI63" s="184">
        <v>7</v>
      </c>
      <c r="AJ63" s="184">
        <v>22</v>
      </c>
      <c r="AK63" s="184">
        <v>87</v>
      </c>
      <c r="AL63" s="184">
        <v>52</v>
      </c>
      <c r="AM63" s="184">
        <v>37</v>
      </c>
      <c r="AN63" s="184">
        <v>16</v>
      </c>
      <c r="AO63" s="184">
        <v>5</v>
      </c>
      <c r="AP63" s="184">
        <v>4</v>
      </c>
      <c r="AQ63" s="336">
        <v>230</v>
      </c>
      <c r="AR63" s="323">
        <v>0</v>
      </c>
      <c r="AS63" s="323">
        <v>1110</v>
      </c>
      <c r="AT63" s="323">
        <v>3071</v>
      </c>
      <c r="AU63" s="323">
        <v>4069</v>
      </c>
      <c r="AV63" s="323">
        <v>1748</v>
      </c>
      <c r="AW63" s="323">
        <v>639</v>
      </c>
      <c r="AX63" s="323">
        <v>173</v>
      </c>
      <c r="AY63" s="323">
        <v>53</v>
      </c>
      <c r="AZ63" s="323">
        <v>6</v>
      </c>
      <c r="BA63" s="323">
        <v>10869</v>
      </c>
      <c r="BB63" s="331">
        <v>0</v>
      </c>
      <c r="BC63" s="330">
        <v>10</v>
      </c>
      <c r="BD63" s="330">
        <v>30</v>
      </c>
      <c r="BE63" s="330">
        <v>112</v>
      </c>
      <c r="BF63" s="330">
        <v>66</v>
      </c>
      <c r="BG63" s="330">
        <v>21</v>
      </c>
      <c r="BH63" s="330">
        <v>9</v>
      </c>
      <c r="BI63" s="330">
        <v>2</v>
      </c>
      <c r="BJ63" s="330">
        <v>0</v>
      </c>
      <c r="BK63" s="328">
        <v>250</v>
      </c>
      <c r="BL63" s="323">
        <v>0</v>
      </c>
      <c r="BM63" s="323">
        <v>1</v>
      </c>
      <c r="BN63" s="323">
        <v>1</v>
      </c>
      <c r="BO63" s="323">
        <v>4</v>
      </c>
      <c r="BP63" s="323">
        <v>6</v>
      </c>
      <c r="BQ63" s="323">
        <v>6</v>
      </c>
      <c r="BR63" s="323">
        <v>3</v>
      </c>
      <c r="BS63" s="323">
        <v>7</v>
      </c>
      <c r="BT63" s="323">
        <v>5</v>
      </c>
      <c r="BU63" s="323">
        <v>33</v>
      </c>
      <c r="BV63" s="329" t="s">
        <v>934</v>
      </c>
      <c r="BW63" s="330">
        <v>4</v>
      </c>
      <c r="BX63" s="330">
        <v>14</v>
      </c>
      <c r="BY63" s="330">
        <v>11</v>
      </c>
      <c r="BZ63" s="330">
        <v>4</v>
      </c>
      <c r="CA63" s="330">
        <v>2</v>
      </c>
      <c r="CB63" s="330">
        <v>2</v>
      </c>
      <c r="CC63" s="330">
        <v>3</v>
      </c>
      <c r="CD63" s="330">
        <v>0</v>
      </c>
      <c r="CE63" s="328">
        <v>40</v>
      </c>
      <c r="CF63" s="322" t="s">
        <v>934</v>
      </c>
      <c r="CG63" s="323">
        <v>0</v>
      </c>
      <c r="CH63" s="323">
        <v>0</v>
      </c>
      <c r="CI63" s="323">
        <v>0</v>
      </c>
      <c r="CJ63" s="323">
        <v>0</v>
      </c>
      <c r="CK63" s="323">
        <v>0</v>
      </c>
      <c r="CL63" s="323">
        <v>0</v>
      </c>
      <c r="CM63" s="323">
        <v>0</v>
      </c>
      <c r="CN63" s="323">
        <v>0</v>
      </c>
      <c r="CO63" s="323">
        <v>0</v>
      </c>
      <c r="CP63" s="329" t="s">
        <v>934</v>
      </c>
      <c r="CQ63" s="330">
        <v>59</v>
      </c>
      <c r="CR63" s="330">
        <v>70</v>
      </c>
      <c r="CS63" s="330">
        <v>87</v>
      </c>
      <c r="CT63" s="330">
        <v>49</v>
      </c>
      <c r="CU63" s="330">
        <v>26</v>
      </c>
      <c r="CV63" s="330">
        <v>7</v>
      </c>
      <c r="CW63" s="330">
        <v>4</v>
      </c>
      <c r="CX63" s="330">
        <v>3</v>
      </c>
      <c r="CY63" s="328">
        <v>305</v>
      </c>
      <c r="CZ63" s="322" t="s">
        <v>934</v>
      </c>
      <c r="DA63" s="323">
        <v>0</v>
      </c>
      <c r="DB63" s="323">
        <v>0</v>
      </c>
      <c r="DC63" s="323">
        <v>0</v>
      </c>
      <c r="DD63" s="323">
        <v>0</v>
      </c>
      <c r="DE63" s="323">
        <v>0</v>
      </c>
      <c r="DF63" s="323">
        <v>0</v>
      </c>
      <c r="DG63" s="323">
        <v>0</v>
      </c>
      <c r="DH63" s="323">
        <v>0</v>
      </c>
      <c r="DI63" s="323">
        <v>0</v>
      </c>
      <c r="DJ63" s="337">
        <v>0</v>
      </c>
      <c r="DK63" s="644">
        <v>32103.6</v>
      </c>
      <c r="DL63" s="614">
        <v>2026</v>
      </c>
      <c r="DM63" s="614">
        <v>6099</v>
      </c>
      <c r="DN63" s="614">
        <v>13540</v>
      </c>
      <c r="DO63" s="614">
        <v>8395</v>
      </c>
      <c r="DP63" s="614">
        <v>4224</v>
      </c>
      <c r="DQ63" s="614">
        <v>1718</v>
      </c>
      <c r="DR63" s="614">
        <v>578</v>
      </c>
      <c r="DS63" s="615">
        <v>64</v>
      </c>
      <c r="DT63" s="607">
        <f t="shared" si="0"/>
        <v>36644</v>
      </c>
      <c r="DU63" s="342"/>
      <c r="EC63" s="646"/>
      <c r="EF63" s="123"/>
      <c r="EG63" s="124"/>
    </row>
    <row r="64" spans="1:137" ht="15">
      <c r="A64" s="22">
        <v>56</v>
      </c>
      <c r="B64" s="23" t="s">
        <v>243</v>
      </c>
      <c r="C64" s="24" t="s">
        <v>244</v>
      </c>
      <c r="D64" s="613"/>
      <c r="E64" s="630">
        <v>11354</v>
      </c>
      <c r="F64" s="630">
        <v>18133</v>
      </c>
      <c r="G64" s="630">
        <v>16612</v>
      </c>
      <c r="H64" s="630">
        <v>8791</v>
      </c>
      <c r="I64" s="630">
        <v>5534</v>
      </c>
      <c r="J64" s="630">
        <v>2610</v>
      </c>
      <c r="K64" s="630">
        <v>1705</v>
      </c>
      <c r="L64" s="630">
        <v>187</v>
      </c>
      <c r="M64" s="627">
        <v>64926</v>
      </c>
      <c r="N64" s="322"/>
      <c r="O64" s="323">
        <v>791</v>
      </c>
      <c r="P64" s="323">
        <v>726</v>
      </c>
      <c r="Q64" s="323">
        <v>445</v>
      </c>
      <c r="R64" s="323">
        <v>220</v>
      </c>
      <c r="S64" s="323">
        <v>91</v>
      </c>
      <c r="T64" s="323">
        <v>40</v>
      </c>
      <c r="U64" s="323">
        <v>24</v>
      </c>
      <c r="V64" s="323">
        <v>21</v>
      </c>
      <c r="W64" s="323">
        <v>2358</v>
      </c>
      <c r="X64" s="329" t="s">
        <v>934</v>
      </c>
      <c r="Y64" s="330">
        <v>1</v>
      </c>
      <c r="Z64" s="330">
        <v>0</v>
      </c>
      <c r="AA64" s="330">
        <v>0</v>
      </c>
      <c r="AB64" s="330">
        <v>0</v>
      </c>
      <c r="AC64" s="330">
        <v>0</v>
      </c>
      <c r="AD64" s="330">
        <v>0</v>
      </c>
      <c r="AE64" s="330">
        <v>0</v>
      </c>
      <c r="AF64" s="330">
        <v>0</v>
      </c>
      <c r="AG64" s="328">
        <v>1</v>
      </c>
      <c r="AH64" s="329" t="s">
        <v>934</v>
      </c>
      <c r="AI64" s="184">
        <v>34</v>
      </c>
      <c r="AJ64" s="184">
        <v>101</v>
      </c>
      <c r="AK64" s="184">
        <v>117</v>
      </c>
      <c r="AL64" s="184">
        <v>72</v>
      </c>
      <c r="AM64" s="184">
        <v>50</v>
      </c>
      <c r="AN64" s="184">
        <v>33</v>
      </c>
      <c r="AO64" s="184">
        <v>24</v>
      </c>
      <c r="AP64" s="184">
        <v>11</v>
      </c>
      <c r="AQ64" s="336">
        <v>442</v>
      </c>
      <c r="AR64" s="323">
        <v>11</v>
      </c>
      <c r="AS64" s="323">
        <v>5347</v>
      </c>
      <c r="AT64" s="323">
        <v>5609</v>
      </c>
      <c r="AU64" s="323">
        <v>3927</v>
      </c>
      <c r="AV64" s="323">
        <v>1693</v>
      </c>
      <c r="AW64" s="323">
        <v>833</v>
      </c>
      <c r="AX64" s="323">
        <v>370</v>
      </c>
      <c r="AY64" s="323">
        <v>176</v>
      </c>
      <c r="AZ64" s="323">
        <v>11</v>
      </c>
      <c r="BA64" s="323">
        <v>17977</v>
      </c>
      <c r="BB64" s="331">
        <v>0</v>
      </c>
      <c r="BC64" s="330">
        <v>157</v>
      </c>
      <c r="BD64" s="330">
        <v>289</v>
      </c>
      <c r="BE64" s="330">
        <v>193</v>
      </c>
      <c r="BF64" s="330">
        <v>98</v>
      </c>
      <c r="BG64" s="330">
        <v>43</v>
      </c>
      <c r="BH64" s="330">
        <v>21</v>
      </c>
      <c r="BI64" s="330">
        <v>9</v>
      </c>
      <c r="BJ64" s="330">
        <v>0</v>
      </c>
      <c r="BK64" s="328">
        <v>810</v>
      </c>
      <c r="BL64" s="323">
        <v>0</v>
      </c>
      <c r="BM64" s="323">
        <v>1</v>
      </c>
      <c r="BN64" s="323">
        <v>3</v>
      </c>
      <c r="BO64" s="323">
        <v>7</v>
      </c>
      <c r="BP64" s="323">
        <v>7</v>
      </c>
      <c r="BQ64" s="323">
        <v>10</v>
      </c>
      <c r="BR64" s="323">
        <v>24</v>
      </c>
      <c r="BS64" s="323">
        <v>19</v>
      </c>
      <c r="BT64" s="323">
        <v>4</v>
      </c>
      <c r="BU64" s="323">
        <v>75</v>
      </c>
      <c r="BV64" s="329" t="s">
        <v>934</v>
      </c>
      <c r="BW64" s="330">
        <v>252</v>
      </c>
      <c r="BX64" s="330">
        <v>244</v>
      </c>
      <c r="BY64" s="330">
        <v>143</v>
      </c>
      <c r="BZ64" s="330">
        <v>84</v>
      </c>
      <c r="CA64" s="330">
        <v>39</v>
      </c>
      <c r="CB64" s="330">
        <v>11</v>
      </c>
      <c r="CC64" s="330">
        <v>23</v>
      </c>
      <c r="CD64" s="330">
        <v>3</v>
      </c>
      <c r="CE64" s="328">
        <v>799</v>
      </c>
      <c r="CF64" s="322" t="s">
        <v>934</v>
      </c>
      <c r="CG64" s="323">
        <v>188</v>
      </c>
      <c r="CH64" s="323">
        <v>147</v>
      </c>
      <c r="CI64" s="323">
        <v>106</v>
      </c>
      <c r="CJ64" s="323">
        <v>69</v>
      </c>
      <c r="CK64" s="323">
        <v>40</v>
      </c>
      <c r="CL64" s="323">
        <v>13</v>
      </c>
      <c r="CM64" s="323">
        <v>15</v>
      </c>
      <c r="CN64" s="323">
        <v>1</v>
      </c>
      <c r="CO64" s="323">
        <v>579</v>
      </c>
      <c r="CP64" s="329" t="s">
        <v>934</v>
      </c>
      <c r="CQ64" s="330">
        <v>0</v>
      </c>
      <c r="CR64" s="330">
        <v>0</v>
      </c>
      <c r="CS64" s="330">
        <v>0</v>
      </c>
      <c r="CT64" s="330">
        <v>0</v>
      </c>
      <c r="CU64" s="330">
        <v>0</v>
      </c>
      <c r="CV64" s="330">
        <v>0</v>
      </c>
      <c r="CW64" s="330">
        <v>0</v>
      </c>
      <c r="CX64" s="330">
        <v>0</v>
      </c>
      <c r="CY64" s="328">
        <v>0</v>
      </c>
      <c r="CZ64" s="322" t="s">
        <v>934</v>
      </c>
      <c r="DA64" s="323">
        <v>0</v>
      </c>
      <c r="DB64" s="323">
        <v>0</v>
      </c>
      <c r="DC64" s="323">
        <v>0</v>
      </c>
      <c r="DD64" s="323">
        <v>0</v>
      </c>
      <c r="DE64" s="323">
        <v>0</v>
      </c>
      <c r="DF64" s="323">
        <v>0</v>
      </c>
      <c r="DG64" s="323">
        <v>0</v>
      </c>
      <c r="DH64" s="323">
        <v>0</v>
      </c>
      <c r="DI64" s="323">
        <v>0</v>
      </c>
      <c r="DJ64" s="337">
        <v>0</v>
      </c>
      <c r="DK64" s="644">
        <v>52423.5</v>
      </c>
      <c r="DL64" s="614">
        <v>11516</v>
      </c>
      <c r="DM64" s="614">
        <v>18415</v>
      </c>
      <c r="DN64" s="614">
        <v>16730</v>
      </c>
      <c r="DO64" s="614">
        <v>8893</v>
      </c>
      <c r="DP64" s="614">
        <v>5639</v>
      </c>
      <c r="DQ64" s="614">
        <v>2691</v>
      </c>
      <c r="DR64" s="614">
        <v>1744</v>
      </c>
      <c r="DS64" s="615">
        <v>189</v>
      </c>
      <c r="DT64" s="607">
        <f t="shared" si="0"/>
        <v>65817</v>
      </c>
      <c r="DU64" s="342"/>
      <c r="EC64" s="646"/>
      <c r="EF64" s="127"/>
      <c r="EG64" s="124"/>
    </row>
    <row r="65" spans="1:137" ht="15">
      <c r="A65" s="22">
        <v>57</v>
      </c>
      <c r="B65" s="23" t="s">
        <v>245</v>
      </c>
      <c r="C65" s="24" t="s">
        <v>246</v>
      </c>
      <c r="D65" s="613"/>
      <c r="E65" s="628">
        <v>4426</v>
      </c>
      <c r="F65" s="628">
        <v>9289</v>
      </c>
      <c r="G65" s="628">
        <v>21018</v>
      </c>
      <c r="H65" s="628">
        <v>15550</v>
      </c>
      <c r="I65" s="628">
        <v>9572</v>
      </c>
      <c r="J65" s="628">
        <v>5157</v>
      </c>
      <c r="K65" s="628">
        <v>3522</v>
      </c>
      <c r="L65" s="628">
        <v>313</v>
      </c>
      <c r="M65" s="627">
        <v>68847</v>
      </c>
      <c r="N65" s="322"/>
      <c r="O65" s="323">
        <v>208</v>
      </c>
      <c r="P65" s="323">
        <v>337</v>
      </c>
      <c r="Q65" s="323">
        <v>414</v>
      </c>
      <c r="R65" s="323">
        <v>209</v>
      </c>
      <c r="S65" s="323">
        <v>83</v>
      </c>
      <c r="T65" s="323">
        <v>69</v>
      </c>
      <c r="U65" s="323">
        <v>34</v>
      </c>
      <c r="V65" s="323">
        <v>7</v>
      </c>
      <c r="W65" s="323">
        <v>1361</v>
      </c>
      <c r="X65" s="329" t="s">
        <v>934</v>
      </c>
      <c r="Y65" s="330">
        <v>2</v>
      </c>
      <c r="Z65" s="330">
        <v>0</v>
      </c>
      <c r="AA65" s="330">
        <v>2</v>
      </c>
      <c r="AB65" s="330">
        <v>3</v>
      </c>
      <c r="AC65" s="330">
        <v>8</v>
      </c>
      <c r="AD65" s="330">
        <v>2</v>
      </c>
      <c r="AE65" s="330">
        <v>0</v>
      </c>
      <c r="AF65" s="330">
        <v>0</v>
      </c>
      <c r="AG65" s="328">
        <v>17</v>
      </c>
      <c r="AH65" s="329" t="s">
        <v>934</v>
      </c>
      <c r="AI65" s="184">
        <v>8</v>
      </c>
      <c r="AJ65" s="184">
        <v>18</v>
      </c>
      <c r="AK65" s="184">
        <v>78</v>
      </c>
      <c r="AL65" s="184">
        <v>58</v>
      </c>
      <c r="AM65" s="184">
        <v>56</v>
      </c>
      <c r="AN65" s="184">
        <v>28</v>
      </c>
      <c r="AO65" s="184">
        <v>29</v>
      </c>
      <c r="AP65" s="184">
        <v>11</v>
      </c>
      <c r="AQ65" s="336">
        <v>286</v>
      </c>
      <c r="AR65" s="323">
        <v>4</v>
      </c>
      <c r="AS65" s="323">
        <v>2649</v>
      </c>
      <c r="AT65" s="323">
        <v>5291</v>
      </c>
      <c r="AU65" s="323">
        <v>6979</v>
      </c>
      <c r="AV65" s="323">
        <v>3641</v>
      </c>
      <c r="AW65" s="323">
        <v>1584</v>
      </c>
      <c r="AX65" s="323">
        <v>663</v>
      </c>
      <c r="AY65" s="323">
        <v>364</v>
      </c>
      <c r="AZ65" s="323">
        <v>25</v>
      </c>
      <c r="BA65" s="323">
        <v>21200</v>
      </c>
      <c r="BB65" s="331">
        <v>1</v>
      </c>
      <c r="BC65" s="330">
        <v>27</v>
      </c>
      <c r="BD65" s="330">
        <v>77</v>
      </c>
      <c r="BE65" s="330">
        <v>182</v>
      </c>
      <c r="BF65" s="330">
        <v>139</v>
      </c>
      <c r="BG65" s="330">
        <v>72</v>
      </c>
      <c r="BH65" s="330">
        <v>33</v>
      </c>
      <c r="BI65" s="330">
        <v>12</v>
      </c>
      <c r="BJ65" s="330">
        <v>1</v>
      </c>
      <c r="BK65" s="328">
        <v>544</v>
      </c>
      <c r="BL65" s="323">
        <v>0</v>
      </c>
      <c r="BM65" s="323">
        <v>4</v>
      </c>
      <c r="BN65" s="323">
        <v>2</v>
      </c>
      <c r="BO65" s="323">
        <v>2</v>
      </c>
      <c r="BP65" s="323">
        <v>7</v>
      </c>
      <c r="BQ65" s="323">
        <v>5</v>
      </c>
      <c r="BR65" s="323">
        <v>7</v>
      </c>
      <c r="BS65" s="323">
        <v>10</v>
      </c>
      <c r="BT65" s="323">
        <v>4</v>
      </c>
      <c r="BU65" s="323">
        <v>41</v>
      </c>
      <c r="BV65" s="329" t="s">
        <v>934</v>
      </c>
      <c r="BW65" s="330">
        <v>38</v>
      </c>
      <c r="BX65" s="330">
        <v>88</v>
      </c>
      <c r="BY65" s="330">
        <v>85</v>
      </c>
      <c r="BZ65" s="330">
        <v>47</v>
      </c>
      <c r="CA65" s="330">
        <v>29</v>
      </c>
      <c r="CB65" s="330">
        <v>18</v>
      </c>
      <c r="CC65" s="330">
        <v>16</v>
      </c>
      <c r="CD65" s="330">
        <v>4</v>
      </c>
      <c r="CE65" s="328">
        <v>325</v>
      </c>
      <c r="CF65" s="322" t="s">
        <v>934</v>
      </c>
      <c r="CG65" s="323">
        <v>40</v>
      </c>
      <c r="CH65" s="323">
        <v>57</v>
      </c>
      <c r="CI65" s="323">
        <v>60</v>
      </c>
      <c r="CJ65" s="323">
        <v>47</v>
      </c>
      <c r="CK65" s="323">
        <v>24</v>
      </c>
      <c r="CL65" s="323">
        <v>12</v>
      </c>
      <c r="CM65" s="323">
        <v>16</v>
      </c>
      <c r="CN65" s="323">
        <v>1</v>
      </c>
      <c r="CO65" s="323">
        <v>257</v>
      </c>
      <c r="CP65" s="329" t="s">
        <v>934</v>
      </c>
      <c r="CQ65" s="330">
        <v>73</v>
      </c>
      <c r="CR65" s="330">
        <v>57</v>
      </c>
      <c r="CS65" s="330">
        <v>56</v>
      </c>
      <c r="CT65" s="330">
        <v>38</v>
      </c>
      <c r="CU65" s="330">
        <v>22</v>
      </c>
      <c r="CV65" s="330">
        <v>10</v>
      </c>
      <c r="CW65" s="330">
        <v>17</v>
      </c>
      <c r="CX65" s="330">
        <v>0</v>
      </c>
      <c r="CY65" s="328">
        <v>273</v>
      </c>
      <c r="CZ65" s="322" t="s">
        <v>934</v>
      </c>
      <c r="DA65" s="323">
        <v>0</v>
      </c>
      <c r="DB65" s="323">
        <v>0</v>
      </c>
      <c r="DC65" s="323">
        <v>0</v>
      </c>
      <c r="DD65" s="323">
        <v>0</v>
      </c>
      <c r="DE65" s="323">
        <v>0</v>
      </c>
      <c r="DF65" s="323">
        <v>0</v>
      </c>
      <c r="DG65" s="323">
        <v>0</v>
      </c>
      <c r="DH65" s="323">
        <v>0</v>
      </c>
      <c r="DI65" s="323">
        <v>0</v>
      </c>
      <c r="DJ65" s="337">
        <v>0</v>
      </c>
      <c r="DK65" s="644">
        <v>63476.8</v>
      </c>
      <c r="DL65" s="614">
        <v>4476</v>
      </c>
      <c r="DM65" s="614">
        <v>9358</v>
      </c>
      <c r="DN65" s="614">
        <v>21250</v>
      </c>
      <c r="DO65" s="614">
        <v>15762</v>
      </c>
      <c r="DP65" s="614">
        <v>9707</v>
      </c>
      <c r="DQ65" s="614">
        <v>5208</v>
      </c>
      <c r="DR65" s="614">
        <v>3557</v>
      </c>
      <c r="DS65" s="615">
        <v>327</v>
      </c>
      <c r="DT65" s="607">
        <f t="shared" si="0"/>
        <v>69645</v>
      </c>
      <c r="DU65" s="342"/>
      <c r="EC65" s="646"/>
      <c r="EF65" s="123"/>
      <c r="EG65" s="124"/>
    </row>
    <row r="66" spans="1:137" ht="15">
      <c r="A66" s="22">
        <v>58</v>
      </c>
      <c r="B66" s="23" t="s">
        <v>247</v>
      </c>
      <c r="C66" s="24" t="s">
        <v>248</v>
      </c>
      <c r="D66" s="613"/>
      <c r="E66" s="626">
        <v>8506</v>
      </c>
      <c r="F66" s="626">
        <v>12139</v>
      </c>
      <c r="G66" s="626">
        <v>13206</v>
      </c>
      <c r="H66" s="626">
        <v>8333</v>
      </c>
      <c r="I66" s="626">
        <v>4541</v>
      </c>
      <c r="J66" s="626">
        <v>2446</v>
      </c>
      <c r="K66" s="626">
        <v>1901</v>
      </c>
      <c r="L66" s="626">
        <v>82</v>
      </c>
      <c r="M66" s="631">
        <v>51154</v>
      </c>
      <c r="N66" s="322"/>
      <c r="O66" s="323">
        <v>522</v>
      </c>
      <c r="P66" s="323">
        <v>772</v>
      </c>
      <c r="Q66" s="323">
        <v>494</v>
      </c>
      <c r="R66" s="323">
        <v>229</v>
      </c>
      <c r="S66" s="323">
        <v>100</v>
      </c>
      <c r="T66" s="323">
        <v>70</v>
      </c>
      <c r="U66" s="323">
        <v>64</v>
      </c>
      <c r="V66" s="323">
        <v>9</v>
      </c>
      <c r="W66" s="323">
        <v>2260</v>
      </c>
      <c r="X66" s="329" t="s">
        <v>934</v>
      </c>
      <c r="Y66" s="330">
        <v>2</v>
      </c>
      <c r="Z66" s="330">
        <v>3</v>
      </c>
      <c r="AA66" s="330">
        <v>0</v>
      </c>
      <c r="AB66" s="330">
        <v>1</v>
      </c>
      <c r="AC66" s="330">
        <v>1</v>
      </c>
      <c r="AD66" s="330">
        <v>0</v>
      </c>
      <c r="AE66" s="330">
        <v>1</v>
      </c>
      <c r="AF66" s="330">
        <v>0</v>
      </c>
      <c r="AG66" s="328">
        <v>8</v>
      </c>
      <c r="AH66" s="329" t="s">
        <v>934</v>
      </c>
      <c r="AI66" s="184">
        <v>9</v>
      </c>
      <c r="AJ66" s="184">
        <v>37</v>
      </c>
      <c r="AK66" s="184">
        <v>61</v>
      </c>
      <c r="AL66" s="184">
        <v>58</v>
      </c>
      <c r="AM66" s="184">
        <v>30</v>
      </c>
      <c r="AN66" s="184">
        <v>23</v>
      </c>
      <c r="AO66" s="184">
        <v>35</v>
      </c>
      <c r="AP66" s="184">
        <v>4</v>
      </c>
      <c r="AQ66" s="336">
        <v>257</v>
      </c>
      <c r="AR66" s="323">
        <v>4</v>
      </c>
      <c r="AS66" s="323">
        <v>5086</v>
      </c>
      <c r="AT66" s="323">
        <v>5057</v>
      </c>
      <c r="AU66" s="323">
        <v>4633</v>
      </c>
      <c r="AV66" s="323">
        <v>2300</v>
      </c>
      <c r="AW66" s="323">
        <v>1033</v>
      </c>
      <c r="AX66" s="323">
        <v>398</v>
      </c>
      <c r="AY66" s="323">
        <v>235</v>
      </c>
      <c r="AZ66" s="323">
        <v>5</v>
      </c>
      <c r="BA66" s="323">
        <v>18751</v>
      </c>
      <c r="BB66" s="331">
        <v>0</v>
      </c>
      <c r="BC66" s="330">
        <v>65</v>
      </c>
      <c r="BD66" s="330">
        <v>141</v>
      </c>
      <c r="BE66" s="330">
        <v>116</v>
      </c>
      <c r="BF66" s="330">
        <v>48</v>
      </c>
      <c r="BG66" s="330">
        <v>25</v>
      </c>
      <c r="BH66" s="330">
        <v>29</v>
      </c>
      <c r="BI66" s="330">
        <v>10</v>
      </c>
      <c r="BJ66" s="330">
        <v>0</v>
      </c>
      <c r="BK66" s="328">
        <v>434</v>
      </c>
      <c r="BL66" s="323">
        <v>0</v>
      </c>
      <c r="BM66" s="323">
        <v>4</v>
      </c>
      <c r="BN66" s="323">
        <v>6</v>
      </c>
      <c r="BO66" s="323">
        <v>6</v>
      </c>
      <c r="BP66" s="323">
        <v>3</v>
      </c>
      <c r="BQ66" s="323">
        <v>11</v>
      </c>
      <c r="BR66" s="323">
        <v>18</v>
      </c>
      <c r="BS66" s="323">
        <v>14</v>
      </c>
      <c r="BT66" s="323">
        <v>1</v>
      </c>
      <c r="BU66" s="323">
        <v>63</v>
      </c>
      <c r="BV66" s="329" t="s">
        <v>934</v>
      </c>
      <c r="BW66" s="330">
        <v>141</v>
      </c>
      <c r="BX66" s="330">
        <v>192</v>
      </c>
      <c r="BY66" s="330">
        <v>167</v>
      </c>
      <c r="BZ66" s="330">
        <v>69</v>
      </c>
      <c r="CA66" s="330">
        <v>69</v>
      </c>
      <c r="CB66" s="330">
        <v>41</v>
      </c>
      <c r="CC66" s="330">
        <v>17</v>
      </c>
      <c r="CD66" s="330">
        <v>1</v>
      </c>
      <c r="CE66" s="328">
        <v>697</v>
      </c>
      <c r="CF66" s="322" t="s">
        <v>934</v>
      </c>
      <c r="CG66" s="323">
        <v>0</v>
      </c>
      <c r="CH66" s="323">
        <v>0</v>
      </c>
      <c r="CI66" s="323">
        <v>0</v>
      </c>
      <c r="CJ66" s="323">
        <v>0</v>
      </c>
      <c r="CK66" s="323">
        <v>0</v>
      </c>
      <c r="CL66" s="323">
        <v>0</v>
      </c>
      <c r="CM66" s="323">
        <v>0</v>
      </c>
      <c r="CN66" s="323">
        <v>0</v>
      </c>
      <c r="CO66" s="323">
        <v>0</v>
      </c>
      <c r="CP66" s="329" t="s">
        <v>934</v>
      </c>
      <c r="CQ66" s="330">
        <v>198</v>
      </c>
      <c r="CR66" s="330">
        <v>150</v>
      </c>
      <c r="CS66" s="330">
        <v>113</v>
      </c>
      <c r="CT66" s="330">
        <v>49</v>
      </c>
      <c r="CU66" s="330">
        <v>21</v>
      </c>
      <c r="CV66" s="330">
        <v>15</v>
      </c>
      <c r="CW66" s="330">
        <v>15</v>
      </c>
      <c r="CX66" s="330">
        <v>2</v>
      </c>
      <c r="CY66" s="328">
        <v>563</v>
      </c>
      <c r="CZ66" s="322" t="s">
        <v>934</v>
      </c>
      <c r="DA66" s="323">
        <v>0</v>
      </c>
      <c r="DB66" s="323">
        <v>0</v>
      </c>
      <c r="DC66" s="323">
        <v>0</v>
      </c>
      <c r="DD66" s="323">
        <v>0</v>
      </c>
      <c r="DE66" s="323">
        <v>0</v>
      </c>
      <c r="DF66" s="323">
        <v>0</v>
      </c>
      <c r="DG66" s="323">
        <v>0</v>
      </c>
      <c r="DH66" s="323">
        <v>0</v>
      </c>
      <c r="DI66" s="323">
        <v>0</v>
      </c>
      <c r="DJ66" s="337">
        <v>0</v>
      </c>
      <c r="DK66" s="644">
        <v>41136.2</v>
      </c>
      <c r="DL66" s="614">
        <v>8746</v>
      </c>
      <c r="DM66" s="614">
        <v>12372</v>
      </c>
      <c r="DN66" s="614">
        <v>13332</v>
      </c>
      <c r="DO66" s="614">
        <v>8384</v>
      </c>
      <c r="DP66" s="614">
        <v>4566</v>
      </c>
      <c r="DQ66" s="614">
        <v>2450</v>
      </c>
      <c r="DR66" s="614">
        <v>1894</v>
      </c>
      <c r="DS66" s="615">
        <v>85</v>
      </c>
      <c r="DT66" s="607">
        <f t="shared" si="0"/>
        <v>51829</v>
      </c>
      <c r="DU66" s="342"/>
      <c r="EC66" s="646"/>
      <c r="EF66" s="123"/>
      <c r="EG66" s="124"/>
    </row>
    <row r="67" spans="1:137" ht="15">
      <c r="A67" s="22">
        <v>59</v>
      </c>
      <c r="B67" s="23" t="s">
        <v>249</v>
      </c>
      <c r="C67" s="24" t="s">
        <v>250</v>
      </c>
      <c r="D67" s="613"/>
      <c r="E67" s="628">
        <v>4847</v>
      </c>
      <c r="F67" s="628">
        <v>13878</v>
      </c>
      <c r="G67" s="628">
        <v>15697</v>
      </c>
      <c r="H67" s="628">
        <v>9856</v>
      </c>
      <c r="I67" s="628">
        <v>6997</v>
      </c>
      <c r="J67" s="628">
        <v>3091</v>
      </c>
      <c r="K67" s="628">
        <v>2242</v>
      </c>
      <c r="L67" s="628">
        <v>224</v>
      </c>
      <c r="M67" s="627">
        <v>56832</v>
      </c>
      <c r="N67" s="322"/>
      <c r="O67" s="323">
        <v>322</v>
      </c>
      <c r="P67" s="323">
        <v>547</v>
      </c>
      <c r="Q67" s="323">
        <v>366</v>
      </c>
      <c r="R67" s="323">
        <v>379</v>
      </c>
      <c r="S67" s="323">
        <v>118</v>
      </c>
      <c r="T67" s="323">
        <v>59</v>
      </c>
      <c r="U67" s="323">
        <v>49</v>
      </c>
      <c r="V67" s="323">
        <v>5</v>
      </c>
      <c r="W67" s="323">
        <v>1845</v>
      </c>
      <c r="X67" s="329" t="s">
        <v>934</v>
      </c>
      <c r="Y67" s="330">
        <v>0</v>
      </c>
      <c r="Z67" s="330">
        <v>0</v>
      </c>
      <c r="AA67" s="330">
        <v>0</v>
      </c>
      <c r="AB67" s="330">
        <v>0</v>
      </c>
      <c r="AC67" s="330">
        <v>0</v>
      </c>
      <c r="AD67" s="330">
        <v>0</v>
      </c>
      <c r="AE67" s="330">
        <v>0</v>
      </c>
      <c r="AF67" s="330">
        <v>0</v>
      </c>
      <c r="AG67" s="328">
        <v>0</v>
      </c>
      <c r="AH67" s="329" t="s">
        <v>934</v>
      </c>
      <c r="AI67" s="184">
        <v>10</v>
      </c>
      <c r="AJ67" s="184">
        <v>49</v>
      </c>
      <c r="AK67" s="184">
        <v>73</v>
      </c>
      <c r="AL67" s="184">
        <v>51</v>
      </c>
      <c r="AM67" s="184">
        <v>40</v>
      </c>
      <c r="AN67" s="184">
        <v>16</v>
      </c>
      <c r="AO67" s="184">
        <v>12</v>
      </c>
      <c r="AP67" s="184">
        <v>12</v>
      </c>
      <c r="AQ67" s="336">
        <v>263</v>
      </c>
      <c r="AR67" s="323">
        <v>4</v>
      </c>
      <c r="AS67" s="323">
        <v>2503</v>
      </c>
      <c r="AT67" s="323">
        <v>5151</v>
      </c>
      <c r="AU67" s="323">
        <v>4306</v>
      </c>
      <c r="AV67" s="323">
        <v>2119</v>
      </c>
      <c r="AW67" s="323">
        <v>1094</v>
      </c>
      <c r="AX67" s="323">
        <v>397</v>
      </c>
      <c r="AY67" s="323">
        <v>230</v>
      </c>
      <c r="AZ67" s="323">
        <v>16</v>
      </c>
      <c r="BA67" s="323">
        <v>15820</v>
      </c>
      <c r="BB67" s="331">
        <v>1</v>
      </c>
      <c r="BC67" s="330">
        <v>19</v>
      </c>
      <c r="BD67" s="330">
        <v>81</v>
      </c>
      <c r="BE67" s="330">
        <v>120</v>
      </c>
      <c r="BF67" s="330">
        <v>62</v>
      </c>
      <c r="BG67" s="330">
        <v>42</v>
      </c>
      <c r="BH67" s="330">
        <v>15</v>
      </c>
      <c r="BI67" s="330">
        <v>14</v>
      </c>
      <c r="BJ67" s="330">
        <v>0</v>
      </c>
      <c r="BK67" s="328">
        <v>354</v>
      </c>
      <c r="BL67" s="323">
        <v>0</v>
      </c>
      <c r="BM67" s="323">
        <v>13</v>
      </c>
      <c r="BN67" s="323">
        <v>26</v>
      </c>
      <c r="BO67" s="323">
        <v>8</v>
      </c>
      <c r="BP67" s="323">
        <v>10</v>
      </c>
      <c r="BQ67" s="323">
        <v>5</v>
      </c>
      <c r="BR67" s="323">
        <v>3</v>
      </c>
      <c r="BS67" s="323">
        <v>22</v>
      </c>
      <c r="BT67" s="323">
        <v>11</v>
      </c>
      <c r="BU67" s="323">
        <v>98</v>
      </c>
      <c r="BV67" s="329" t="s">
        <v>934</v>
      </c>
      <c r="BW67" s="330">
        <v>53</v>
      </c>
      <c r="BX67" s="330">
        <v>54</v>
      </c>
      <c r="BY67" s="330">
        <v>46</v>
      </c>
      <c r="BZ67" s="330">
        <v>62</v>
      </c>
      <c r="CA67" s="330">
        <v>50</v>
      </c>
      <c r="CB67" s="330">
        <v>40</v>
      </c>
      <c r="CC67" s="330">
        <v>40</v>
      </c>
      <c r="CD67" s="330">
        <v>14</v>
      </c>
      <c r="CE67" s="328">
        <v>359</v>
      </c>
      <c r="CF67" s="322" t="s">
        <v>934</v>
      </c>
      <c r="CG67" s="323">
        <v>41</v>
      </c>
      <c r="CH67" s="323">
        <v>47</v>
      </c>
      <c r="CI67" s="323">
        <v>48</v>
      </c>
      <c r="CJ67" s="323">
        <v>23</v>
      </c>
      <c r="CK67" s="323">
        <v>8</v>
      </c>
      <c r="CL67" s="323">
        <v>3</v>
      </c>
      <c r="CM67" s="323">
        <v>3</v>
      </c>
      <c r="CN67" s="323">
        <v>0</v>
      </c>
      <c r="CO67" s="323">
        <v>173</v>
      </c>
      <c r="CP67" s="329" t="s">
        <v>934</v>
      </c>
      <c r="CQ67" s="330">
        <v>78</v>
      </c>
      <c r="CR67" s="330">
        <v>98</v>
      </c>
      <c r="CS67" s="330">
        <v>60</v>
      </c>
      <c r="CT67" s="330">
        <v>43</v>
      </c>
      <c r="CU67" s="330">
        <v>28</v>
      </c>
      <c r="CV67" s="330">
        <v>13</v>
      </c>
      <c r="CW67" s="330">
        <v>10</v>
      </c>
      <c r="CX67" s="330">
        <v>3</v>
      </c>
      <c r="CY67" s="328">
        <v>333</v>
      </c>
      <c r="CZ67" s="322" t="s">
        <v>934</v>
      </c>
      <c r="DA67" s="323">
        <v>0</v>
      </c>
      <c r="DB67" s="323">
        <v>0</v>
      </c>
      <c r="DC67" s="323">
        <v>0</v>
      </c>
      <c r="DD67" s="323">
        <v>0</v>
      </c>
      <c r="DE67" s="323">
        <v>0</v>
      </c>
      <c r="DF67" s="323">
        <v>0</v>
      </c>
      <c r="DG67" s="323">
        <v>0</v>
      </c>
      <c r="DH67" s="323">
        <v>0</v>
      </c>
      <c r="DI67" s="323">
        <v>0</v>
      </c>
      <c r="DJ67" s="337">
        <v>245</v>
      </c>
      <c r="DK67" s="644">
        <v>49674.2</v>
      </c>
      <c r="DL67" s="614">
        <v>4933</v>
      </c>
      <c r="DM67" s="614">
        <v>14190</v>
      </c>
      <c r="DN67" s="614">
        <v>15887</v>
      </c>
      <c r="DO67" s="614">
        <v>9984</v>
      </c>
      <c r="DP67" s="614">
        <v>6992</v>
      </c>
      <c r="DQ67" s="614">
        <v>3100</v>
      </c>
      <c r="DR67" s="614">
        <v>2254</v>
      </c>
      <c r="DS67" s="615">
        <v>223</v>
      </c>
      <c r="DT67" s="607">
        <f t="shared" si="0"/>
        <v>57563</v>
      </c>
      <c r="DU67" s="342"/>
      <c r="EC67" s="646"/>
      <c r="EF67" s="126"/>
      <c r="EG67" s="124"/>
    </row>
    <row r="68" spans="1:137" ht="15">
      <c r="A68" s="22">
        <v>60</v>
      </c>
      <c r="B68" s="23" t="s">
        <v>251</v>
      </c>
      <c r="C68" s="24" t="s">
        <v>252</v>
      </c>
      <c r="D68" s="613"/>
      <c r="E68" s="636">
        <v>9577</v>
      </c>
      <c r="F68" s="636">
        <v>12782</v>
      </c>
      <c r="G68" s="636">
        <v>11710</v>
      </c>
      <c r="H68" s="636">
        <v>8056</v>
      </c>
      <c r="I68" s="636">
        <v>6214</v>
      </c>
      <c r="J68" s="636">
        <v>3754</v>
      </c>
      <c r="K68" s="636">
        <v>2896</v>
      </c>
      <c r="L68" s="636">
        <v>132</v>
      </c>
      <c r="M68" s="627">
        <v>55121</v>
      </c>
      <c r="N68" s="322"/>
      <c r="O68" s="323">
        <v>537</v>
      </c>
      <c r="P68" s="323">
        <v>760</v>
      </c>
      <c r="Q68" s="323">
        <v>493</v>
      </c>
      <c r="R68" s="323">
        <v>262</v>
      </c>
      <c r="S68" s="323">
        <v>143</v>
      </c>
      <c r="T68" s="323">
        <v>79</v>
      </c>
      <c r="U68" s="323">
        <v>56</v>
      </c>
      <c r="V68" s="323">
        <v>6</v>
      </c>
      <c r="W68" s="323">
        <v>2336</v>
      </c>
      <c r="X68" s="329" t="s">
        <v>934</v>
      </c>
      <c r="Y68" s="330">
        <v>2</v>
      </c>
      <c r="Z68" s="330">
        <v>3</v>
      </c>
      <c r="AA68" s="330">
        <v>1</v>
      </c>
      <c r="AB68" s="330">
        <v>2</v>
      </c>
      <c r="AC68" s="330">
        <v>4</v>
      </c>
      <c r="AD68" s="330">
        <v>1</v>
      </c>
      <c r="AE68" s="330">
        <v>0</v>
      </c>
      <c r="AF68" s="330">
        <v>0</v>
      </c>
      <c r="AG68" s="328">
        <v>13</v>
      </c>
      <c r="AH68" s="329" t="s">
        <v>934</v>
      </c>
      <c r="AI68" s="184">
        <v>19</v>
      </c>
      <c r="AJ68" s="184">
        <v>68</v>
      </c>
      <c r="AK68" s="184">
        <v>71</v>
      </c>
      <c r="AL68" s="184">
        <v>66</v>
      </c>
      <c r="AM68" s="184">
        <v>66</v>
      </c>
      <c r="AN68" s="184">
        <v>34</v>
      </c>
      <c r="AO68" s="184">
        <v>25</v>
      </c>
      <c r="AP68" s="184">
        <v>16</v>
      </c>
      <c r="AQ68" s="336">
        <v>365</v>
      </c>
      <c r="AR68" s="323">
        <v>2</v>
      </c>
      <c r="AS68" s="323">
        <v>4895</v>
      </c>
      <c r="AT68" s="323">
        <v>4680</v>
      </c>
      <c r="AU68" s="323">
        <v>3633</v>
      </c>
      <c r="AV68" s="323">
        <v>2115</v>
      </c>
      <c r="AW68" s="323">
        <v>1211</v>
      </c>
      <c r="AX68" s="323">
        <v>521</v>
      </c>
      <c r="AY68" s="323">
        <v>318</v>
      </c>
      <c r="AZ68" s="323">
        <v>7</v>
      </c>
      <c r="BA68" s="323">
        <v>17382</v>
      </c>
      <c r="BB68" s="331">
        <v>1</v>
      </c>
      <c r="BC68" s="330">
        <v>68</v>
      </c>
      <c r="BD68" s="330">
        <v>135</v>
      </c>
      <c r="BE68" s="330">
        <v>85</v>
      </c>
      <c r="BF68" s="330">
        <v>53</v>
      </c>
      <c r="BG68" s="330">
        <v>31</v>
      </c>
      <c r="BH68" s="330">
        <v>20</v>
      </c>
      <c r="BI68" s="330">
        <v>13</v>
      </c>
      <c r="BJ68" s="330">
        <v>0</v>
      </c>
      <c r="BK68" s="328">
        <v>406</v>
      </c>
      <c r="BL68" s="323">
        <v>0</v>
      </c>
      <c r="BM68" s="323">
        <v>5</v>
      </c>
      <c r="BN68" s="323">
        <v>6</v>
      </c>
      <c r="BO68" s="323">
        <v>8</v>
      </c>
      <c r="BP68" s="323">
        <v>11</v>
      </c>
      <c r="BQ68" s="323">
        <v>10</v>
      </c>
      <c r="BR68" s="323">
        <v>14</v>
      </c>
      <c r="BS68" s="323">
        <v>16</v>
      </c>
      <c r="BT68" s="323">
        <v>1</v>
      </c>
      <c r="BU68" s="323">
        <v>71</v>
      </c>
      <c r="BV68" s="329" t="s">
        <v>934</v>
      </c>
      <c r="BW68" s="330">
        <v>49</v>
      </c>
      <c r="BX68" s="330">
        <v>62</v>
      </c>
      <c r="BY68" s="330">
        <v>66</v>
      </c>
      <c r="BZ68" s="330">
        <v>65</v>
      </c>
      <c r="CA68" s="330">
        <v>43</v>
      </c>
      <c r="CB68" s="330">
        <v>23</v>
      </c>
      <c r="CC68" s="330">
        <v>40</v>
      </c>
      <c r="CD68" s="330">
        <v>3</v>
      </c>
      <c r="CE68" s="328">
        <v>351</v>
      </c>
      <c r="CF68" s="322" t="s">
        <v>934</v>
      </c>
      <c r="CG68" s="323">
        <v>247</v>
      </c>
      <c r="CH68" s="323">
        <v>323</v>
      </c>
      <c r="CI68" s="323">
        <v>324</v>
      </c>
      <c r="CJ68" s="323">
        <v>228</v>
      </c>
      <c r="CK68" s="323">
        <v>187</v>
      </c>
      <c r="CL68" s="323">
        <v>84</v>
      </c>
      <c r="CM68" s="323">
        <v>57</v>
      </c>
      <c r="CN68" s="323">
        <v>2</v>
      </c>
      <c r="CO68" s="323">
        <v>1452</v>
      </c>
      <c r="CP68" s="329" t="s">
        <v>934</v>
      </c>
      <c r="CQ68" s="330">
        <v>0</v>
      </c>
      <c r="CR68" s="330">
        <v>0</v>
      </c>
      <c r="CS68" s="330">
        <v>0</v>
      </c>
      <c r="CT68" s="330">
        <v>0</v>
      </c>
      <c r="CU68" s="330">
        <v>0</v>
      </c>
      <c r="CV68" s="330">
        <v>0</v>
      </c>
      <c r="CW68" s="330">
        <v>0</v>
      </c>
      <c r="CX68" s="330">
        <v>0</v>
      </c>
      <c r="CY68" s="328">
        <v>0</v>
      </c>
      <c r="CZ68" s="322" t="s">
        <v>934</v>
      </c>
      <c r="DA68" s="323">
        <v>0</v>
      </c>
      <c r="DB68" s="323">
        <v>0</v>
      </c>
      <c r="DC68" s="323">
        <v>0</v>
      </c>
      <c r="DD68" s="323">
        <v>0</v>
      </c>
      <c r="DE68" s="323">
        <v>0</v>
      </c>
      <c r="DF68" s="323">
        <v>0</v>
      </c>
      <c r="DG68" s="323">
        <v>0</v>
      </c>
      <c r="DH68" s="323">
        <v>0</v>
      </c>
      <c r="DI68" s="323">
        <v>0</v>
      </c>
      <c r="DJ68" s="337">
        <v>91.6</v>
      </c>
      <c r="DK68" s="644">
        <v>46186.3</v>
      </c>
      <c r="DL68" s="616">
        <v>9430</v>
      </c>
      <c r="DM68" s="616">
        <v>12809</v>
      </c>
      <c r="DN68" s="616">
        <v>11733</v>
      </c>
      <c r="DO68" s="616">
        <v>8145</v>
      </c>
      <c r="DP68" s="616">
        <v>6222</v>
      </c>
      <c r="DQ68" s="616">
        <v>3760</v>
      </c>
      <c r="DR68" s="616">
        <v>2902</v>
      </c>
      <c r="DS68" s="617">
        <v>134</v>
      </c>
      <c r="DT68" s="607">
        <f t="shared" si="0"/>
        <v>55135</v>
      </c>
      <c r="DU68" s="342"/>
      <c r="EC68" s="646"/>
      <c r="EF68" s="130"/>
      <c r="EG68" s="124"/>
    </row>
    <row r="69" spans="1:137" ht="15">
      <c r="A69" s="22">
        <v>61</v>
      </c>
      <c r="B69" s="23" t="s">
        <v>253</v>
      </c>
      <c r="C69" s="24" t="s">
        <v>254</v>
      </c>
      <c r="D69" s="613"/>
      <c r="E69" s="629">
        <v>26120</v>
      </c>
      <c r="F69" s="629">
        <v>9582</v>
      </c>
      <c r="G69" s="629">
        <v>5850</v>
      </c>
      <c r="H69" s="629">
        <v>3471</v>
      </c>
      <c r="I69" s="629">
        <v>1704</v>
      </c>
      <c r="J69" s="629">
        <v>502</v>
      </c>
      <c r="K69" s="629">
        <v>205</v>
      </c>
      <c r="L69" s="629">
        <v>23</v>
      </c>
      <c r="M69" s="627">
        <v>47457</v>
      </c>
      <c r="N69" s="322"/>
      <c r="O69" s="323">
        <v>691</v>
      </c>
      <c r="P69" s="323">
        <v>184</v>
      </c>
      <c r="Q69" s="323">
        <v>67</v>
      </c>
      <c r="R69" s="323">
        <v>38</v>
      </c>
      <c r="S69" s="323">
        <v>13</v>
      </c>
      <c r="T69" s="323">
        <v>4</v>
      </c>
      <c r="U69" s="323">
        <v>1</v>
      </c>
      <c r="V69" s="323">
        <v>0</v>
      </c>
      <c r="W69" s="323">
        <v>998</v>
      </c>
      <c r="X69" s="329" t="s">
        <v>934</v>
      </c>
      <c r="Y69" s="330">
        <v>0</v>
      </c>
      <c r="Z69" s="330">
        <v>0</v>
      </c>
      <c r="AA69" s="330">
        <v>0</v>
      </c>
      <c r="AB69" s="330">
        <v>0</v>
      </c>
      <c r="AC69" s="330">
        <v>0</v>
      </c>
      <c r="AD69" s="330">
        <v>0</v>
      </c>
      <c r="AE69" s="330">
        <v>0</v>
      </c>
      <c r="AF69" s="330">
        <v>0</v>
      </c>
      <c r="AG69" s="328">
        <v>0</v>
      </c>
      <c r="AH69" s="329" t="s">
        <v>934</v>
      </c>
      <c r="AI69" s="184">
        <v>55</v>
      </c>
      <c r="AJ69" s="184">
        <v>58</v>
      </c>
      <c r="AK69" s="184">
        <v>47</v>
      </c>
      <c r="AL69" s="184">
        <v>22</v>
      </c>
      <c r="AM69" s="184">
        <v>10</v>
      </c>
      <c r="AN69" s="184">
        <v>4</v>
      </c>
      <c r="AO69" s="184">
        <v>18</v>
      </c>
      <c r="AP69" s="184">
        <v>14</v>
      </c>
      <c r="AQ69" s="336">
        <v>228</v>
      </c>
      <c r="AR69" s="323">
        <v>11</v>
      </c>
      <c r="AS69" s="323">
        <v>12347</v>
      </c>
      <c r="AT69" s="323">
        <v>2992</v>
      </c>
      <c r="AU69" s="323">
        <v>1506</v>
      </c>
      <c r="AV69" s="323">
        <v>643</v>
      </c>
      <c r="AW69" s="323">
        <v>218</v>
      </c>
      <c r="AX69" s="323">
        <v>71</v>
      </c>
      <c r="AY69" s="323">
        <v>18</v>
      </c>
      <c r="AZ69" s="323">
        <v>0</v>
      </c>
      <c r="BA69" s="323">
        <v>17806</v>
      </c>
      <c r="BB69" s="331">
        <v>2</v>
      </c>
      <c r="BC69" s="330">
        <v>183</v>
      </c>
      <c r="BD69" s="330">
        <v>71</v>
      </c>
      <c r="BE69" s="330">
        <v>40</v>
      </c>
      <c r="BF69" s="330">
        <v>29</v>
      </c>
      <c r="BG69" s="330">
        <v>17</v>
      </c>
      <c r="BH69" s="330">
        <v>2</v>
      </c>
      <c r="BI69" s="330">
        <v>2</v>
      </c>
      <c r="BJ69" s="330">
        <v>0</v>
      </c>
      <c r="BK69" s="328">
        <v>346</v>
      </c>
      <c r="BL69" s="323">
        <v>0</v>
      </c>
      <c r="BM69" s="323">
        <v>13</v>
      </c>
      <c r="BN69" s="323">
        <v>13</v>
      </c>
      <c r="BO69" s="323">
        <v>9</v>
      </c>
      <c r="BP69" s="323">
        <v>6</v>
      </c>
      <c r="BQ69" s="323">
        <v>4</v>
      </c>
      <c r="BR69" s="323">
        <v>15</v>
      </c>
      <c r="BS69" s="323">
        <v>18</v>
      </c>
      <c r="BT69" s="323">
        <v>2</v>
      </c>
      <c r="BU69" s="323">
        <v>80</v>
      </c>
      <c r="BV69" s="329" t="s">
        <v>934</v>
      </c>
      <c r="BW69" s="330">
        <v>157</v>
      </c>
      <c r="BX69" s="330">
        <v>80</v>
      </c>
      <c r="BY69" s="330">
        <v>50</v>
      </c>
      <c r="BZ69" s="330">
        <v>14</v>
      </c>
      <c r="CA69" s="330">
        <v>9</v>
      </c>
      <c r="CB69" s="330">
        <v>4</v>
      </c>
      <c r="CC69" s="330">
        <v>2</v>
      </c>
      <c r="CD69" s="330">
        <v>1</v>
      </c>
      <c r="CE69" s="328">
        <v>317</v>
      </c>
      <c r="CF69" s="322" t="s">
        <v>934</v>
      </c>
      <c r="CG69" s="323">
        <v>155</v>
      </c>
      <c r="CH69" s="323">
        <v>53</v>
      </c>
      <c r="CI69" s="323">
        <v>35</v>
      </c>
      <c r="CJ69" s="323">
        <v>14</v>
      </c>
      <c r="CK69" s="323">
        <v>4</v>
      </c>
      <c r="CL69" s="323">
        <v>7</v>
      </c>
      <c r="CM69" s="323">
        <v>6</v>
      </c>
      <c r="CN69" s="323">
        <v>1</v>
      </c>
      <c r="CO69" s="323">
        <v>275</v>
      </c>
      <c r="CP69" s="329" t="s">
        <v>934</v>
      </c>
      <c r="CQ69" s="330">
        <v>0</v>
      </c>
      <c r="CR69" s="330">
        <v>0</v>
      </c>
      <c r="CS69" s="330">
        <v>0</v>
      </c>
      <c r="CT69" s="330">
        <v>0</v>
      </c>
      <c r="CU69" s="330">
        <v>0</v>
      </c>
      <c r="CV69" s="330">
        <v>0</v>
      </c>
      <c r="CW69" s="330">
        <v>0</v>
      </c>
      <c r="CX69" s="330">
        <v>0</v>
      </c>
      <c r="CY69" s="328">
        <v>0</v>
      </c>
      <c r="CZ69" s="322" t="s">
        <v>934</v>
      </c>
      <c r="DA69" s="323">
        <v>0</v>
      </c>
      <c r="DB69" s="323">
        <v>0</v>
      </c>
      <c r="DC69" s="323">
        <v>0</v>
      </c>
      <c r="DD69" s="323">
        <v>0</v>
      </c>
      <c r="DE69" s="323">
        <v>0</v>
      </c>
      <c r="DF69" s="323">
        <v>0</v>
      </c>
      <c r="DG69" s="323">
        <v>0</v>
      </c>
      <c r="DH69" s="323">
        <v>0</v>
      </c>
      <c r="DI69" s="323">
        <v>0</v>
      </c>
      <c r="DJ69" s="337">
        <v>0</v>
      </c>
      <c r="DK69" s="644">
        <v>32319.4</v>
      </c>
      <c r="DL69" s="616">
        <v>26206</v>
      </c>
      <c r="DM69" s="616">
        <v>9735</v>
      </c>
      <c r="DN69" s="616">
        <v>5910</v>
      </c>
      <c r="DO69" s="616">
        <v>3516</v>
      </c>
      <c r="DP69" s="616">
        <v>1721</v>
      </c>
      <c r="DQ69" s="616">
        <v>499</v>
      </c>
      <c r="DR69" s="616">
        <v>205</v>
      </c>
      <c r="DS69" s="617">
        <v>23</v>
      </c>
      <c r="DT69" s="607">
        <f t="shared" si="0"/>
        <v>47815</v>
      </c>
      <c r="DU69" s="342"/>
      <c r="EC69" s="646"/>
      <c r="EF69" s="125"/>
      <c r="EG69" s="124"/>
    </row>
    <row r="70" spans="1:137" ht="15">
      <c r="A70" s="22">
        <v>62</v>
      </c>
      <c r="B70" s="23" t="s">
        <v>255</v>
      </c>
      <c r="C70" s="24" t="s">
        <v>256</v>
      </c>
      <c r="D70" s="613"/>
      <c r="E70" s="629">
        <v>13259</v>
      </c>
      <c r="F70" s="629">
        <v>2852</v>
      </c>
      <c r="G70" s="629">
        <v>4443</v>
      </c>
      <c r="H70" s="629">
        <v>2073</v>
      </c>
      <c r="I70" s="629">
        <v>1126</v>
      </c>
      <c r="J70" s="629">
        <v>312</v>
      </c>
      <c r="K70" s="629">
        <v>239</v>
      </c>
      <c r="L70" s="629">
        <v>15</v>
      </c>
      <c r="M70" s="627">
        <v>24319</v>
      </c>
      <c r="N70" s="322"/>
      <c r="O70" s="323">
        <v>385</v>
      </c>
      <c r="P70" s="323">
        <v>45</v>
      </c>
      <c r="Q70" s="323">
        <v>43</v>
      </c>
      <c r="R70" s="323">
        <v>18</v>
      </c>
      <c r="S70" s="323">
        <v>10</v>
      </c>
      <c r="T70" s="323">
        <v>3</v>
      </c>
      <c r="U70" s="323">
        <v>3</v>
      </c>
      <c r="V70" s="323">
        <v>0</v>
      </c>
      <c r="W70" s="323">
        <v>507</v>
      </c>
      <c r="X70" s="329" t="s">
        <v>934</v>
      </c>
      <c r="Y70" s="330">
        <v>0</v>
      </c>
      <c r="Z70" s="330">
        <v>0</v>
      </c>
      <c r="AA70" s="330">
        <v>0</v>
      </c>
      <c r="AB70" s="330">
        <v>0</v>
      </c>
      <c r="AC70" s="330">
        <v>0</v>
      </c>
      <c r="AD70" s="330">
        <v>0</v>
      </c>
      <c r="AE70" s="330">
        <v>0</v>
      </c>
      <c r="AF70" s="330">
        <v>0</v>
      </c>
      <c r="AG70" s="328">
        <v>0</v>
      </c>
      <c r="AH70" s="329" t="s">
        <v>934</v>
      </c>
      <c r="AI70" s="184">
        <v>25</v>
      </c>
      <c r="AJ70" s="184">
        <v>17</v>
      </c>
      <c r="AK70" s="184">
        <v>28</v>
      </c>
      <c r="AL70" s="184">
        <v>13</v>
      </c>
      <c r="AM70" s="184">
        <v>9</v>
      </c>
      <c r="AN70" s="184">
        <v>7</v>
      </c>
      <c r="AO70" s="184">
        <v>5</v>
      </c>
      <c r="AP70" s="184">
        <v>5</v>
      </c>
      <c r="AQ70" s="336">
        <v>109</v>
      </c>
      <c r="AR70" s="323">
        <v>9</v>
      </c>
      <c r="AS70" s="323">
        <v>6077</v>
      </c>
      <c r="AT70" s="323">
        <v>822</v>
      </c>
      <c r="AU70" s="323">
        <v>932</v>
      </c>
      <c r="AV70" s="323">
        <v>336</v>
      </c>
      <c r="AW70" s="323">
        <v>139</v>
      </c>
      <c r="AX70" s="323">
        <v>40</v>
      </c>
      <c r="AY70" s="323">
        <v>15</v>
      </c>
      <c r="AZ70" s="323">
        <v>2</v>
      </c>
      <c r="BA70" s="323">
        <v>8372</v>
      </c>
      <c r="BB70" s="331">
        <v>1</v>
      </c>
      <c r="BC70" s="330">
        <v>92</v>
      </c>
      <c r="BD70" s="330">
        <v>20</v>
      </c>
      <c r="BE70" s="330">
        <v>28</v>
      </c>
      <c r="BF70" s="330">
        <v>7</v>
      </c>
      <c r="BG70" s="330">
        <v>9</v>
      </c>
      <c r="BH70" s="330">
        <v>1</v>
      </c>
      <c r="BI70" s="330">
        <v>1</v>
      </c>
      <c r="BJ70" s="330">
        <v>0</v>
      </c>
      <c r="BK70" s="328">
        <v>159</v>
      </c>
      <c r="BL70" s="323">
        <v>0</v>
      </c>
      <c r="BM70" s="323">
        <v>6</v>
      </c>
      <c r="BN70" s="323">
        <v>3</v>
      </c>
      <c r="BO70" s="323">
        <v>5</v>
      </c>
      <c r="BP70" s="323">
        <v>3</v>
      </c>
      <c r="BQ70" s="323">
        <v>8</v>
      </c>
      <c r="BR70" s="323">
        <v>5</v>
      </c>
      <c r="BS70" s="323">
        <v>6</v>
      </c>
      <c r="BT70" s="323">
        <v>0</v>
      </c>
      <c r="BU70" s="323">
        <v>36</v>
      </c>
      <c r="BV70" s="329" t="s">
        <v>934</v>
      </c>
      <c r="BW70" s="330">
        <v>55</v>
      </c>
      <c r="BX70" s="330">
        <v>17</v>
      </c>
      <c r="BY70" s="330">
        <v>12</v>
      </c>
      <c r="BZ70" s="330">
        <v>7</v>
      </c>
      <c r="CA70" s="330">
        <v>1</v>
      </c>
      <c r="CB70" s="330">
        <v>2</v>
      </c>
      <c r="CC70" s="330">
        <v>3</v>
      </c>
      <c r="CD70" s="330">
        <v>0</v>
      </c>
      <c r="CE70" s="328">
        <v>97</v>
      </c>
      <c r="CF70" s="322" t="s">
        <v>934</v>
      </c>
      <c r="CG70" s="323">
        <v>355</v>
      </c>
      <c r="CH70" s="323">
        <v>91</v>
      </c>
      <c r="CI70" s="323">
        <v>32</v>
      </c>
      <c r="CJ70" s="323">
        <v>14</v>
      </c>
      <c r="CK70" s="323">
        <v>7</v>
      </c>
      <c r="CL70" s="323">
        <v>3</v>
      </c>
      <c r="CM70" s="323">
        <v>1</v>
      </c>
      <c r="CN70" s="323">
        <v>0</v>
      </c>
      <c r="CO70" s="323">
        <v>503</v>
      </c>
      <c r="CP70" s="329" t="s">
        <v>934</v>
      </c>
      <c r="CQ70" s="330">
        <v>0</v>
      </c>
      <c r="CR70" s="330">
        <v>0</v>
      </c>
      <c r="CS70" s="330">
        <v>0</v>
      </c>
      <c r="CT70" s="330">
        <v>0</v>
      </c>
      <c r="CU70" s="330">
        <v>0</v>
      </c>
      <c r="CV70" s="330">
        <v>0</v>
      </c>
      <c r="CW70" s="330">
        <v>0</v>
      </c>
      <c r="CX70" s="330">
        <v>0</v>
      </c>
      <c r="CY70" s="328">
        <v>0</v>
      </c>
      <c r="CZ70" s="322" t="s">
        <v>934</v>
      </c>
      <c r="DA70" s="323">
        <v>0</v>
      </c>
      <c r="DB70" s="323">
        <v>0</v>
      </c>
      <c r="DC70" s="323">
        <v>0</v>
      </c>
      <c r="DD70" s="323">
        <v>0</v>
      </c>
      <c r="DE70" s="323">
        <v>0</v>
      </c>
      <c r="DF70" s="323">
        <v>0</v>
      </c>
      <c r="DG70" s="323">
        <v>0</v>
      </c>
      <c r="DH70" s="323">
        <v>0</v>
      </c>
      <c r="DI70" s="323">
        <v>0</v>
      </c>
      <c r="DJ70" s="337">
        <v>0</v>
      </c>
      <c r="DK70" s="644">
        <v>17223.1</v>
      </c>
      <c r="DL70" s="616">
        <v>13280</v>
      </c>
      <c r="DM70" s="616">
        <v>2870</v>
      </c>
      <c r="DN70" s="616">
        <v>4457</v>
      </c>
      <c r="DO70" s="616">
        <v>2107</v>
      </c>
      <c r="DP70" s="616">
        <v>1114</v>
      </c>
      <c r="DQ70" s="616">
        <v>313</v>
      </c>
      <c r="DR70" s="616">
        <v>238</v>
      </c>
      <c r="DS70" s="617">
        <v>15</v>
      </c>
      <c r="DT70" s="607">
        <f t="shared" si="0"/>
        <v>24394</v>
      </c>
      <c r="DU70" s="342"/>
      <c r="EC70" s="646"/>
      <c r="EF70" s="125"/>
      <c r="EG70" s="124"/>
    </row>
    <row r="71" spans="1:137" ht="15">
      <c r="A71" s="22">
        <v>63</v>
      </c>
      <c r="B71" s="23" t="s">
        <v>257</v>
      </c>
      <c r="C71" s="24" t="s">
        <v>258</v>
      </c>
      <c r="D71" s="613"/>
      <c r="E71" s="626">
        <v>2789</v>
      </c>
      <c r="F71" s="626">
        <v>5177</v>
      </c>
      <c r="G71" s="626">
        <v>13025</v>
      </c>
      <c r="H71" s="626">
        <v>10929</v>
      </c>
      <c r="I71" s="626">
        <v>7952</v>
      </c>
      <c r="J71" s="626">
        <v>5594</v>
      </c>
      <c r="K71" s="626">
        <v>5479</v>
      </c>
      <c r="L71" s="626">
        <v>1050</v>
      </c>
      <c r="M71" s="627">
        <v>51995</v>
      </c>
      <c r="N71" s="322"/>
      <c r="O71" s="323">
        <v>149</v>
      </c>
      <c r="P71" s="323">
        <v>267</v>
      </c>
      <c r="Q71" s="323">
        <v>451</v>
      </c>
      <c r="R71" s="323">
        <v>299</v>
      </c>
      <c r="S71" s="323">
        <v>224</v>
      </c>
      <c r="T71" s="323">
        <v>102</v>
      </c>
      <c r="U71" s="323">
        <v>90</v>
      </c>
      <c r="V71" s="323">
        <v>22</v>
      </c>
      <c r="W71" s="323">
        <v>1604</v>
      </c>
      <c r="X71" s="329" t="s">
        <v>934</v>
      </c>
      <c r="Y71" s="330">
        <v>0</v>
      </c>
      <c r="Z71" s="330">
        <v>0</v>
      </c>
      <c r="AA71" s="330">
        <v>0</v>
      </c>
      <c r="AB71" s="330">
        <v>0</v>
      </c>
      <c r="AC71" s="330">
        <v>0</v>
      </c>
      <c r="AD71" s="330">
        <v>0</v>
      </c>
      <c r="AE71" s="330">
        <v>0</v>
      </c>
      <c r="AF71" s="330">
        <v>0</v>
      </c>
      <c r="AG71" s="328">
        <v>0</v>
      </c>
      <c r="AH71" s="329" t="s">
        <v>934</v>
      </c>
      <c r="AI71" s="184">
        <v>1</v>
      </c>
      <c r="AJ71" s="184">
        <v>22</v>
      </c>
      <c r="AK71" s="184">
        <v>48</v>
      </c>
      <c r="AL71" s="184">
        <v>59</v>
      </c>
      <c r="AM71" s="184">
        <v>66</v>
      </c>
      <c r="AN71" s="184">
        <v>38</v>
      </c>
      <c r="AO71" s="184">
        <v>38</v>
      </c>
      <c r="AP71" s="184">
        <v>19</v>
      </c>
      <c r="AQ71" s="336">
        <v>291</v>
      </c>
      <c r="AR71" s="323">
        <v>1</v>
      </c>
      <c r="AS71" s="323">
        <v>1142</v>
      </c>
      <c r="AT71" s="323">
        <v>2618</v>
      </c>
      <c r="AU71" s="323">
        <v>4112</v>
      </c>
      <c r="AV71" s="323">
        <v>3312</v>
      </c>
      <c r="AW71" s="323">
        <v>2079</v>
      </c>
      <c r="AX71" s="323">
        <v>1164</v>
      </c>
      <c r="AY71" s="323">
        <v>883</v>
      </c>
      <c r="AZ71" s="323">
        <v>103</v>
      </c>
      <c r="BA71" s="323">
        <v>15414</v>
      </c>
      <c r="BB71" s="331">
        <v>0</v>
      </c>
      <c r="BC71" s="330">
        <v>3</v>
      </c>
      <c r="BD71" s="330">
        <v>46</v>
      </c>
      <c r="BE71" s="330">
        <v>98</v>
      </c>
      <c r="BF71" s="330">
        <v>87</v>
      </c>
      <c r="BG71" s="330">
        <v>48</v>
      </c>
      <c r="BH71" s="330">
        <v>36</v>
      </c>
      <c r="BI71" s="330">
        <v>26</v>
      </c>
      <c r="BJ71" s="330">
        <v>3</v>
      </c>
      <c r="BK71" s="328">
        <v>347</v>
      </c>
      <c r="BL71" s="323">
        <v>0</v>
      </c>
      <c r="BM71" s="323">
        <v>1</v>
      </c>
      <c r="BN71" s="323">
        <v>2</v>
      </c>
      <c r="BO71" s="323">
        <v>3</v>
      </c>
      <c r="BP71" s="323">
        <v>10</v>
      </c>
      <c r="BQ71" s="323">
        <v>10</v>
      </c>
      <c r="BR71" s="323">
        <v>20</v>
      </c>
      <c r="BS71" s="323">
        <v>24</v>
      </c>
      <c r="BT71" s="323">
        <v>6</v>
      </c>
      <c r="BU71" s="323">
        <v>76</v>
      </c>
      <c r="BV71" s="329" t="s">
        <v>934</v>
      </c>
      <c r="BW71" s="330">
        <v>690</v>
      </c>
      <c r="BX71" s="330">
        <v>182</v>
      </c>
      <c r="BY71" s="330">
        <v>356</v>
      </c>
      <c r="BZ71" s="330">
        <v>396</v>
      </c>
      <c r="CA71" s="330">
        <v>344</v>
      </c>
      <c r="CB71" s="330">
        <v>300</v>
      </c>
      <c r="CC71" s="330">
        <v>360</v>
      </c>
      <c r="CD71" s="330">
        <v>138</v>
      </c>
      <c r="CE71" s="328">
        <v>2766</v>
      </c>
      <c r="CF71" s="322" t="s">
        <v>934</v>
      </c>
      <c r="CG71" s="323">
        <v>0</v>
      </c>
      <c r="CH71" s="323">
        <v>0</v>
      </c>
      <c r="CI71" s="323">
        <v>0</v>
      </c>
      <c r="CJ71" s="323">
        <v>0</v>
      </c>
      <c r="CK71" s="323">
        <v>0</v>
      </c>
      <c r="CL71" s="323">
        <v>0</v>
      </c>
      <c r="CM71" s="323">
        <v>0</v>
      </c>
      <c r="CN71" s="323">
        <v>0</v>
      </c>
      <c r="CO71" s="323">
        <v>0</v>
      </c>
      <c r="CP71" s="329" t="s">
        <v>934</v>
      </c>
      <c r="CQ71" s="330">
        <v>60</v>
      </c>
      <c r="CR71" s="330">
        <v>58</v>
      </c>
      <c r="CS71" s="330">
        <v>72</v>
      </c>
      <c r="CT71" s="330">
        <v>92</v>
      </c>
      <c r="CU71" s="330">
        <v>83</v>
      </c>
      <c r="CV71" s="330">
        <v>41</v>
      </c>
      <c r="CW71" s="330">
        <v>38</v>
      </c>
      <c r="CX71" s="330">
        <v>15</v>
      </c>
      <c r="CY71" s="328">
        <v>459</v>
      </c>
      <c r="CZ71" s="322" t="s">
        <v>934</v>
      </c>
      <c r="DA71" s="323">
        <v>0</v>
      </c>
      <c r="DB71" s="323">
        <v>0</v>
      </c>
      <c r="DC71" s="323">
        <v>0</v>
      </c>
      <c r="DD71" s="323">
        <v>0</v>
      </c>
      <c r="DE71" s="323">
        <v>0</v>
      </c>
      <c r="DF71" s="323">
        <v>0</v>
      </c>
      <c r="DG71" s="323">
        <v>0</v>
      </c>
      <c r="DH71" s="323">
        <v>0</v>
      </c>
      <c r="DI71" s="323">
        <v>0</v>
      </c>
      <c r="DJ71" s="337">
        <v>267.7</v>
      </c>
      <c r="DK71" s="644">
        <v>50433.8</v>
      </c>
      <c r="DL71" s="614">
        <v>2850</v>
      </c>
      <c r="DM71" s="614">
        <v>5252</v>
      </c>
      <c r="DN71" s="614">
        <v>13100</v>
      </c>
      <c r="DO71" s="614">
        <v>11006</v>
      </c>
      <c r="DP71" s="614">
        <v>7998</v>
      </c>
      <c r="DQ71" s="614">
        <v>5617</v>
      </c>
      <c r="DR71" s="614">
        <v>5503</v>
      </c>
      <c r="DS71" s="615">
        <v>1069</v>
      </c>
      <c r="DT71" s="607">
        <f t="shared" si="0"/>
        <v>52395</v>
      </c>
      <c r="DU71" s="342"/>
      <c r="EC71" s="646"/>
      <c r="EF71" s="126"/>
      <c r="EG71" s="124"/>
    </row>
    <row r="72" spans="1:137" ht="15">
      <c r="A72" s="22">
        <v>64</v>
      </c>
      <c r="B72" s="23" t="s">
        <v>259</v>
      </c>
      <c r="C72" s="24" t="s">
        <v>260</v>
      </c>
      <c r="D72" s="613"/>
      <c r="E72" s="629">
        <v>627</v>
      </c>
      <c r="F72" s="629">
        <v>1856</v>
      </c>
      <c r="G72" s="629">
        <v>5252</v>
      </c>
      <c r="H72" s="629">
        <v>6505</v>
      </c>
      <c r="I72" s="629">
        <v>6450</v>
      </c>
      <c r="J72" s="629">
        <v>6499</v>
      </c>
      <c r="K72" s="629">
        <v>8763</v>
      </c>
      <c r="L72" s="629">
        <v>1715</v>
      </c>
      <c r="M72" s="627">
        <v>37667</v>
      </c>
      <c r="N72" s="322"/>
      <c r="O72" s="323">
        <v>63</v>
      </c>
      <c r="P72" s="323">
        <v>52</v>
      </c>
      <c r="Q72" s="323">
        <v>209</v>
      </c>
      <c r="R72" s="323">
        <v>133</v>
      </c>
      <c r="S72" s="323">
        <v>132</v>
      </c>
      <c r="T72" s="323">
        <v>89</v>
      </c>
      <c r="U72" s="323">
        <v>120</v>
      </c>
      <c r="V72" s="323">
        <v>24</v>
      </c>
      <c r="W72" s="323">
        <v>822</v>
      </c>
      <c r="X72" s="329" t="s">
        <v>934</v>
      </c>
      <c r="Y72" s="330">
        <v>1</v>
      </c>
      <c r="Z72" s="330">
        <v>0</v>
      </c>
      <c r="AA72" s="330">
        <v>0</v>
      </c>
      <c r="AB72" s="330">
        <v>0</v>
      </c>
      <c r="AC72" s="330">
        <v>0</v>
      </c>
      <c r="AD72" s="330">
        <v>0</v>
      </c>
      <c r="AE72" s="330">
        <v>0</v>
      </c>
      <c r="AF72" s="330">
        <v>0</v>
      </c>
      <c r="AG72" s="328">
        <v>1</v>
      </c>
      <c r="AH72" s="329" t="s">
        <v>934</v>
      </c>
      <c r="AI72" s="184">
        <v>1</v>
      </c>
      <c r="AJ72" s="184">
        <v>9</v>
      </c>
      <c r="AK72" s="184">
        <v>16</v>
      </c>
      <c r="AL72" s="184">
        <v>45</v>
      </c>
      <c r="AM72" s="184">
        <v>33</v>
      </c>
      <c r="AN72" s="184">
        <v>73</v>
      </c>
      <c r="AO72" s="184">
        <v>74</v>
      </c>
      <c r="AP72" s="184">
        <v>29</v>
      </c>
      <c r="AQ72" s="336">
        <v>280</v>
      </c>
      <c r="AR72" s="323">
        <v>1</v>
      </c>
      <c r="AS72" s="323">
        <v>308</v>
      </c>
      <c r="AT72" s="323">
        <v>1235</v>
      </c>
      <c r="AU72" s="323">
        <v>2330</v>
      </c>
      <c r="AV72" s="323">
        <v>2318</v>
      </c>
      <c r="AW72" s="323">
        <v>1832</v>
      </c>
      <c r="AX72" s="323">
        <v>1439</v>
      </c>
      <c r="AY72" s="323">
        <v>1201</v>
      </c>
      <c r="AZ72" s="323">
        <v>149</v>
      </c>
      <c r="BA72" s="323">
        <v>10813</v>
      </c>
      <c r="BB72" s="331">
        <v>0</v>
      </c>
      <c r="BC72" s="330">
        <v>0</v>
      </c>
      <c r="BD72" s="330">
        <v>8</v>
      </c>
      <c r="BE72" s="330">
        <v>43</v>
      </c>
      <c r="BF72" s="330">
        <v>26</v>
      </c>
      <c r="BG72" s="330">
        <v>27</v>
      </c>
      <c r="BH72" s="330">
        <v>29</v>
      </c>
      <c r="BI72" s="330">
        <v>30</v>
      </c>
      <c r="BJ72" s="330">
        <v>4</v>
      </c>
      <c r="BK72" s="328">
        <v>167</v>
      </c>
      <c r="BL72" s="323">
        <v>0</v>
      </c>
      <c r="BM72" s="323">
        <v>0</v>
      </c>
      <c r="BN72" s="323">
        <v>2</v>
      </c>
      <c r="BO72" s="323">
        <v>8</v>
      </c>
      <c r="BP72" s="323">
        <v>8</v>
      </c>
      <c r="BQ72" s="323">
        <v>16</v>
      </c>
      <c r="BR72" s="323">
        <v>11</v>
      </c>
      <c r="BS72" s="323">
        <v>20</v>
      </c>
      <c r="BT72" s="323">
        <v>5</v>
      </c>
      <c r="BU72" s="323">
        <v>70</v>
      </c>
      <c r="BV72" s="329" t="s">
        <v>934</v>
      </c>
      <c r="BW72" s="330">
        <v>32</v>
      </c>
      <c r="BX72" s="330">
        <v>15</v>
      </c>
      <c r="BY72" s="330">
        <v>33</v>
      </c>
      <c r="BZ72" s="330">
        <v>31</v>
      </c>
      <c r="CA72" s="330">
        <v>30</v>
      </c>
      <c r="CB72" s="330">
        <v>33</v>
      </c>
      <c r="CC72" s="330">
        <v>23</v>
      </c>
      <c r="CD72" s="330">
        <v>17</v>
      </c>
      <c r="CE72" s="328">
        <v>214</v>
      </c>
      <c r="CF72" s="322" t="s">
        <v>934</v>
      </c>
      <c r="CG72" s="323">
        <v>35</v>
      </c>
      <c r="CH72" s="323">
        <v>21</v>
      </c>
      <c r="CI72" s="323">
        <v>80</v>
      </c>
      <c r="CJ72" s="323">
        <v>67</v>
      </c>
      <c r="CK72" s="323">
        <v>61</v>
      </c>
      <c r="CL72" s="323">
        <v>36</v>
      </c>
      <c r="CM72" s="323">
        <v>35</v>
      </c>
      <c r="CN72" s="323">
        <v>9</v>
      </c>
      <c r="CO72" s="323">
        <v>344</v>
      </c>
      <c r="CP72" s="329" t="s">
        <v>934</v>
      </c>
      <c r="CQ72" s="330">
        <v>0</v>
      </c>
      <c r="CR72" s="330">
        <v>0</v>
      </c>
      <c r="CS72" s="330">
        <v>0</v>
      </c>
      <c r="CT72" s="330">
        <v>0</v>
      </c>
      <c r="CU72" s="330">
        <v>0</v>
      </c>
      <c r="CV72" s="330">
        <v>0</v>
      </c>
      <c r="CW72" s="330">
        <v>0</v>
      </c>
      <c r="CX72" s="330">
        <v>0</v>
      </c>
      <c r="CY72" s="328">
        <v>0</v>
      </c>
      <c r="CZ72" s="322" t="s">
        <v>934</v>
      </c>
      <c r="DA72" s="323">
        <v>0</v>
      </c>
      <c r="DB72" s="323">
        <v>0</v>
      </c>
      <c r="DC72" s="323">
        <v>0</v>
      </c>
      <c r="DD72" s="323">
        <v>0</v>
      </c>
      <c r="DE72" s="323">
        <v>0</v>
      </c>
      <c r="DF72" s="323">
        <v>0</v>
      </c>
      <c r="DG72" s="323">
        <v>0</v>
      </c>
      <c r="DH72" s="323">
        <v>0</v>
      </c>
      <c r="DI72" s="323">
        <v>0</v>
      </c>
      <c r="DJ72" s="337">
        <v>0</v>
      </c>
      <c r="DK72" s="644">
        <v>43886.3</v>
      </c>
      <c r="DL72" s="616">
        <v>635</v>
      </c>
      <c r="DM72" s="616">
        <v>1920</v>
      </c>
      <c r="DN72" s="616">
        <v>5288</v>
      </c>
      <c r="DO72" s="616">
        <v>6551</v>
      </c>
      <c r="DP72" s="616">
        <v>6489</v>
      </c>
      <c r="DQ72" s="616">
        <v>6556</v>
      </c>
      <c r="DR72" s="616">
        <v>8764</v>
      </c>
      <c r="DS72" s="617">
        <v>1742</v>
      </c>
      <c r="DT72" s="607">
        <f t="shared" si="0"/>
        <v>37945</v>
      </c>
      <c r="DU72" s="342"/>
      <c r="EC72" s="646"/>
      <c r="EF72" s="125"/>
      <c r="EG72" s="124"/>
    </row>
    <row r="73" spans="1:137" ht="15">
      <c r="A73" s="22">
        <v>65</v>
      </c>
      <c r="B73" s="23" t="s">
        <v>261</v>
      </c>
      <c r="C73" s="24" t="s">
        <v>262</v>
      </c>
      <c r="D73" s="613"/>
      <c r="E73" s="628">
        <v>13936</v>
      </c>
      <c r="F73" s="628">
        <v>9969</v>
      </c>
      <c r="G73" s="628">
        <v>8424</v>
      </c>
      <c r="H73" s="628">
        <v>5678</v>
      </c>
      <c r="I73" s="628">
        <v>4202</v>
      </c>
      <c r="J73" s="628">
        <v>1675</v>
      </c>
      <c r="K73" s="628">
        <v>722</v>
      </c>
      <c r="L73" s="628">
        <v>61</v>
      </c>
      <c r="M73" s="627">
        <v>44667</v>
      </c>
      <c r="N73" s="322"/>
      <c r="O73" s="323">
        <v>508</v>
      </c>
      <c r="P73" s="323">
        <v>241</v>
      </c>
      <c r="Q73" s="323">
        <v>128</v>
      </c>
      <c r="R73" s="323">
        <v>99</v>
      </c>
      <c r="S73" s="323">
        <v>55</v>
      </c>
      <c r="T73" s="323">
        <v>19</v>
      </c>
      <c r="U73" s="323">
        <v>14</v>
      </c>
      <c r="V73" s="323">
        <v>2</v>
      </c>
      <c r="W73" s="323">
        <v>1066</v>
      </c>
      <c r="X73" s="329" t="s">
        <v>934</v>
      </c>
      <c r="Y73" s="330">
        <v>1</v>
      </c>
      <c r="Z73" s="330">
        <v>0</v>
      </c>
      <c r="AA73" s="330">
        <v>0</v>
      </c>
      <c r="AB73" s="330">
        <v>1</v>
      </c>
      <c r="AC73" s="330">
        <v>1</v>
      </c>
      <c r="AD73" s="330">
        <v>0</v>
      </c>
      <c r="AE73" s="330">
        <v>0</v>
      </c>
      <c r="AF73" s="330">
        <v>0</v>
      </c>
      <c r="AG73" s="328">
        <v>3</v>
      </c>
      <c r="AH73" s="329" t="s">
        <v>934</v>
      </c>
      <c r="AI73" s="184">
        <v>20</v>
      </c>
      <c r="AJ73" s="184">
        <v>37</v>
      </c>
      <c r="AK73" s="184">
        <v>54</v>
      </c>
      <c r="AL73" s="184">
        <v>48</v>
      </c>
      <c r="AM73" s="184">
        <v>34</v>
      </c>
      <c r="AN73" s="184">
        <v>15</v>
      </c>
      <c r="AO73" s="184">
        <v>10</v>
      </c>
      <c r="AP73" s="184">
        <v>11</v>
      </c>
      <c r="AQ73" s="336">
        <v>229</v>
      </c>
      <c r="AR73" s="323">
        <v>6</v>
      </c>
      <c r="AS73" s="323">
        <v>6639</v>
      </c>
      <c r="AT73" s="323">
        <v>3133</v>
      </c>
      <c r="AU73" s="323">
        <v>2066</v>
      </c>
      <c r="AV73" s="323">
        <v>1028</v>
      </c>
      <c r="AW73" s="323">
        <v>525</v>
      </c>
      <c r="AX73" s="323">
        <v>168</v>
      </c>
      <c r="AY73" s="323">
        <v>70</v>
      </c>
      <c r="AZ73" s="323">
        <v>2</v>
      </c>
      <c r="BA73" s="323">
        <v>13637</v>
      </c>
      <c r="BB73" s="331">
        <v>1</v>
      </c>
      <c r="BC73" s="330">
        <v>100</v>
      </c>
      <c r="BD73" s="330">
        <v>73</v>
      </c>
      <c r="BE73" s="330">
        <v>59</v>
      </c>
      <c r="BF73" s="330">
        <v>39</v>
      </c>
      <c r="BG73" s="330">
        <v>26</v>
      </c>
      <c r="BH73" s="330">
        <v>10</v>
      </c>
      <c r="BI73" s="330">
        <v>1</v>
      </c>
      <c r="BJ73" s="330">
        <v>0</v>
      </c>
      <c r="BK73" s="328">
        <v>309</v>
      </c>
      <c r="BL73" s="323">
        <v>0</v>
      </c>
      <c r="BM73" s="323">
        <v>3</v>
      </c>
      <c r="BN73" s="323">
        <v>1</v>
      </c>
      <c r="BO73" s="323">
        <v>1</v>
      </c>
      <c r="BP73" s="323">
        <v>5</v>
      </c>
      <c r="BQ73" s="323">
        <v>5</v>
      </c>
      <c r="BR73" s="323">
        <v>7</v>
      </c>
      <c r="BS73" s="323">
        <v>12</v>
      </c>
      <c r="BT73" s="323">
        <v>3</v>
      </c>
      <c r="BU73" s="323">
        <v>37</v>
      </c>
      <c r="BV73" s="329" t="s">
        <v>934</v>
      </c>
      <c r="BW73" s="330">
        <v>22</v>
      </c>
      <c r="BX73" s="330">
        <v>27</v>
      </c>
      <c r="BY73" s="330">
        <v>20</v>
      </c>
      <c r="BZ73" s="330">
        <v>11</v>
      </c>
      <c r="CA73" s="330">
        <v>7</v>
      </c>
      <c r="CB73" s="330">
        <v>7</v>
      </c>
      <c r="CC73" s="330">
        <v>3</v>
      </c>
      <c r="CD73" s="330">
        <v>0</v>
      </c>
      <c r="CE73" s="328">
        <v>97</v>
      </c>
      <c r="CF73" s="322" t="s">
        <v>934</v>
      </c>
      <c r="CG73" s="323">
        <v>235</v>
      </c>
      <c r="CH73" s="323">
        <v>143</v>
      </c>
      <c r="CI73" s="323">
        <v>89</v>
      </c>
      <c r="CJ73" s="323">
        <v>59</v>
      </c>
      <c r="CK73" s="323">
        <v>33</v>
      </c>
      <c r="CL73" s="323">
        <v>24</v>
      </c>
      <c r="CM73" s="323">
        <v>8</v>
      </c>
      <c r="CN73" s="323">
        <v>3</v>
      </c>
      <c r="CO73" s="323">
        <v>594</v>
      </c>
      <c r="CP73" s="329" t="s">
        <v>934</v>
      </c>
      <c r="CQ73" s="330">
        <v>0</v>
      </c>
      <c r="CR73" s="330">
        <v>0</v>
      </c>
      <c r="CS73" s="330">
        <v>0</v>
      </c>
      <c r="CT73" s="330">
        <v>0</v>
      </c>
      <c r="CU73" s="330">
        <v>0</v>
      </c>
      <c r="CV73" s="330">
        <v>0</v>
      </c>
      <c r="CW73" s="330">
        <v>0</v>
      </c>
      <c r="CX73" s="330">
        <v>0</v>
      </c>
      <c r="CY73" s="328">
        <v>0</v>
      </c>
      <c r="CZ73" s="322" t="s">
        <v>934</v>
      </c>
      <c r="DA73" s="323">
        <v>0</v>
      </c>
      <c r="DB73" s="323">
        <v>0</v>
      </c>
      <c r="DC73" s="323">
        <v>0</v>
      </c>
      <c r="DD73" s="323">
        <v>0</v>
      </c>
      <c r="DE73" s="323">
        <v>0</v>
      </c>
      <c r="DF73" s="323">
        <v>0</v>
      </c>
      <c r="DG73" s="323">
        <v>0</v>
      </c>
      <c r="DH73" s="323">
        <v>0</v>
      </c>
      <c r="DI73" s="323">
        <v>0</v>
      </c>
      <c r="DJ73" s="337">
        <v>0</v>
      </c>
      <c r="DK73" s="644">
        <v>35123.4</v>
      </c>
      <c r="DL73" s="614">
        <v>14067</v>
      </c>
      <c r="DM73" s="614">
        <v>10037</v>
      </c>
      <c r="DN73" s="614">
        <v>8487</v>
      </c>
      <c r="DO73" s="614">
        <v>5708</v>
      </c>
      <c r="DP73" s="614">
        <v>4201</v>
      </c>
      <c r="DQ73" s="614">
        <v>1676</v>
      </c>
      <c r="DR73" s="614">
        <v>728</v>
      </c>
      <c r="DS73" s="615">
        <v>62</v>
      </c>
      <c r="DT73" s="607">
        <f aca="true" t="shared" si="1" ref="DT73:DT136">SUM(DL73:DS73)</f>
        <v>44966</v>
      </c>
      <c r="DU73" s="342"/>
      <c r="EC73" s="646"/>
      <c r="EF73" s="123"/>
      <c r="EG73" s="124"/>
    </row>
    <row r="74" spans="1:137" ht="15">
      <c r="A74" s="22">
        <v>66</v>
      </c>
      <c r="B74" s="23" t="s">
        <v>263</v>
      </c>
      <c r="C74" s="24" t="s">
        <v>264</v>
      </c>
      <c r="D74" s="613"/>
      <c r="E74" s="628">
        <v>1622</v>
      </c>
      <c r="F74" s="628">
        <v>2079</v>
      </c>
      <c r="G74" s="628">
        <v>5626</v>
      </c>
      <c r="H74" s="628">
        <v>6173</v>
      </c>
      <c r="I74" s="628">
        <v>4950</v>
      </c>
      <c r="J74" s="628">
        <v>1419</v>
      </c>
      <c r="K74" s="628">
        <v>703</v>
      </c>
      <c r="L74" s="628">
        <v>28</v>
      </c>
      <c r="M74" s="627">
        <v>22600</v>
      </c>
      <c r="N74" s="322"/>
      <c r="O74" s="323">
        <v>82</v>
      </c>
      <c r="P74" s="323">
        <v>67</v>
      </c>
      <c r="Q74" s="323">
        <v>141</v>
      </c>
      <c r="R74" s="323">
        <v>127</v>
      </c>
      <c r="S74" s="323">
        <v>78</v>
      </c>
      <c r="T74" s="323">
        <v>30</v>
      </c>
      <c r="U74" s="323">
        <v>15</v>
      </c>
      <c r="V74" s="323">
        <v>0</v>
      </c>
      <c r="W74" s="323">
        <v>540</v>
      </c>
      <c r="X74" s="329" t="s">
        <v>934</v>
      </c>
      <c r="Y74" s="330">
        <v>1</v>
      </c>
      <c r="Z74" s="330">
        <v>0</v>
      </c>
      <c r="AA74" s="330">
        <v>1</v>
      </c>
      <c r="AB74" s="330">
        <v>5</v>
      </c>
      <c r="AC74" s="330">
        <v>4</v>
      </c>
      <c r="AD74" s="330">
        <v>0</v>
      </c>
      <c r="AE74" s="330">
        <v>2</v>
      </c>
      <c r="AF74" s="330">
        <v>0</v>
      </c>
      <c r="AG74" s="328">
        <v>13</v>
      </c>
      <c r="AH74" s="329" t="s">
        <v>934</v>
      </c>
      <c r="AI74" s="184">
        <v>1</v>
      </c>
      <c r="AJ74" s="184">
        <v>7</v>
      </c>
      <c r="AK74" s="184">
        <v>25</v>
      </c>
      <c r="AL74" s="184">
        <v>24</v>
      </c>
      <c r="AM74" s="184">
        <v>43</v>
      </c>
      <c r="AN74" s="184">
        <v>14</v>
      </c>
      <c r="AO74" s="184">
        <v>12</v>
      </c>
      <c r="AP74" s="184">
        <v>6</v>
      </c>
      <c r="AQ74" s="336">
        <v>132</v>
      </c>
      <c r="AR74" s="323">
        <v>0</v>
      </c>
      <c r="AS74" s="323">
        <v>1000</v>
      </c>
      <c r="AT74" s="323">
        <v>1180</v>
      </c>
      <c r="AU74" s="323">
        <v>2108</v>
      </c>
      <c r="AV74" s="323">
        <v>1934</v>
      </c>
      <c r="AW74" s="323">
        <v>1209</v>
      </c>
      <c r="AX74" s="323">
        <v>251</v>
      </c>
      <c r="AY74" s="323">
        <v>103</v>
      </c>
      <c r="AZ74" s="323">
        <v>1</v>
      </c>
      <c r="BA74" s="323">
        <v>7786</v>
      </c>
      <c r="BB74" s="331">
        <v>0</v>
      </c>
      <c r="BC74" s="330">
        <v>10</v>
      </c>
      <c r="BD74" s="330">
        <v>19</v>
      </c>
      <c r="BE74" s="330">
        <v>74</v>
      </c>
      <c r="BF74" s="330">
        <v>57</v>
      </c>
      <c r="BG74" s="330">
        <v>44</v>
      </c>
      <c r="BH74" s="330">
        <v>13</v>
      </c>
      <c r="BI74" s="330">
        <v>4</v>
      </c>
      <c r="BJ74" s="330">
        <v>0</v>
      </c>
      <c r="BK74" s="328">
        <v>221</v>
      </c>
      <c r="BL74" s="323">
        <v>0</v>
      </c>
      <c r="BM74" s="323">
        <v>0</v>
      </c>
      <c r="BN74" s="323">
        <v>0</v>
      </c>
      <c r="BO74" s="323">
        <v>2</v>
      </c>
      <c r="BP74" s="323">
        <v>10</v>
      </c>
      <c r="BQ74" s="323">
        <v>3</v>
      </c>
      <c r="BR74" s="323">
        <v>2</v>
      </c>
      <c r="BS74" s="323">
        <v>7</v>
      </c>
      <c r="BT74" s="323">
        <v>0</v>
      </c>
      <c r="BU74" s="323">
        <v>24</v>
      </c>
      <c r="BV74" s="329" t="s">
        <v>934</v>
      </c>
      <c r="BW74" s="330">
        <v>102</v>
      </c>
      <c r="BX74" s="330">
        <v>43</v>
      </c>
      <c r="BY74" s="330">
        <v>138</v>
      </c>
      <c r="BZ74" s="330">
        <v>230</v>
      </c>
      <c r="CA74" s="330">
        <v>128</v>
      </c>
      <c r="CB74" s="330">
        <v>72</v>
      </c>
      <c r="CC74" s="330">
        <v>63</v>
      </c>
      <c r="CD74" s="330">
        <v>1</v>
      </c>
      <c r="CE74" s="328">
        <v>777</v>
      </c>
      <c r="CF74" s="322" t="s">
        <v>934</v>
      </c>
      <c r="CG74" s="323">
        <v>0</v>
      </c>
      <c r="CH74" s="323">
        <v>0</v>
      </c>
      <c r="CI74" s="323">
        <v>0</v>
      </c>
      <c r="CJ74" s="323">
        <v>0</v>
      </c>
      <c r="CK74" s="323">
        <v>0</v>
      </c>
      <c r="CL74" s="323">
        <v>0</v>
      </c>
      <c r="CM74" s="323">
        <v>0</v>
      </c>
      <c r="CN74" s="323">
        <v>0</v>
      </c>
      <c r="CO74" s="323">
        <v>0</v>
      </c>
      <c r="CP74" s="329" t="s">
        <v>934</v>
      </c>
      <c r="CQ74" s="330">
        <v>17</v>
      </c>
      <c r="CR74" s="330">
        <v>29</v>
      </c>
      <c r="CS74" s="330">
        <v>49</v>
      </c>
      <c r="CT74" s="330">
        <v>41</v>
      </c>
      <c r="CU74" s="330">
        <v>30</v>
      </c>
      <c r="CV74" s="330">
        <v>10</v>
      </c>
      <c r="CW74" s="330">
        <v>6</v>
      </c>
      <c r="CX74" s="330">
        <v>0</v>
      </c>
      <c r="CY74" s="328">
        <v>182</v>
      </c>
      <c r="CZ74" s="322" t="s">
        <v>934</v>
      </c>
      <c r="DA74" s="323">
        <v>0</v>
      </c>
      <c r="DB74" s="323">
        <v>0</v>
      </c>
      <c r="DC74" s="323">
        <v>0</v>
      </c>
      <c r="DD74" s="323">
        <v>0</v>
      </c>
      <c r="DE74" s="323">
        <v>0</v>
      </c>
      <c r="DF74" s="323">
        <v>0</v>
      </c>
      <c r="DG74" s="323">
        <v>0</v>
      </c>
      <c r="DH74" s="323">
        <v>0</v>
      </c>
      <c r="DI74" s="323">
        <v>0</v>
      </c>
      <c r="DJ74" s="337">
        <v>0</v>
      </c>
      <c r="DK74" s="644">
        <v>20305.3</v>
      </c>
      <c r="DL74" s="614">
        <v>1628</v>
      </c>
      <c r="DM74" s="614">
        <v>2118</v>
      </c>
      <c r="DN74" s="614">
        <v>5777</v>
      </c>
      <c r="DO74" s="614">
        <v>6087</v>
      </c>
      <c r="DP74" s="614">
        <v>4956</v>
      </c>
      <c r="DQ74" s="614">
        <v>1445</v>
      </c>
      <c r="DR74" s="614">
        <v>706</v>
      </c>
      <c r="DS74" s="615">
        <v>29</v>
      </c>
      <c r="DT74" s="607">
        <f t="shared" si="1"/>
        <v>22746</v>
      </c>
      <c r="DU74" s="342"/>
      <c r="EC74" s="646"/>
      <c r="EF74" s="126"/>
      <c r="EG74" s="124"/>
    </row>
    <row r="75" spans="1:137" ht="15">
      <c r="A75" s="22">
        <v>67</v>
      </c>
      <c r="B75" s="23" t="s">
        <v>265</v>
      </c>
      <c r="C75" s="24" t="s">
        <v>266</v>
      </c>
      <c r="D75" s="613"/>
      <c r="E75" s="629">
        <v>8</v>
      </c>
      <c r="F75" s="629">
        <v>237</v>
      </c>
      <c r="G75" s="629">
        <v>637</v>
      </c>
      <c r="H75" s="629">
        <v>801</v>
      </c>
      <c r="I75" s="629">
        <v>2179</v>
      </c>
      <c r="J75" s="629">
        <v>950</v>
      </c>
      <c r="K75" s="629">
        <v>850</v>
      </c>
      <c r="L75" s="629">
        <v>98</v>
      </c>
      <c r="M75" s="637">
        <v>5760</v>
      </c>
      <c r="N75" s="322"/>
      <c r="O75" s="323">
        <v>0</v>
      </c>
      <c r="P75" s="323">
        <v>8</v>
      </c>
      <c r="Q75" s="323">
        <v>26</v>
      </c>
      <c r="R75" s="323">
        <v>19</v>
      </c>
      <c r="S75" s="323">
        <v>40</v>
      </c>
      <c r="T75" s="323">
        <v>18</v>
      </c>
      <c r="U75" s="323">
        <v>10</v>
      </c>
      <c r="V75" s="323">
        <v>1</v>
      </c>
      <c r="W75" s="323">
        <v>122</v>
      </c>
      <c r="X75" s="329" t="s">
        <v>934</v>
      </c>
      <c r="Y75" s="330">
        <v>0</v>
      </c>
      <c r="Z75" s="330">
        <v>0</v>
      </c>
      <c r="AA75" s="330">
        <v>0</v>
      </c>
      <c r="AB75" s="330">
        <v>0</v>
      </c>
      <c r="AC75" s="330">
        <v>0</v>
      </c>
      <c r="AD75" s="330">
        <v>0</v>
      </c>
      <c r="AE75" s="330">
        <v>0</v>
      </c>
      <c r="AF75" s="330">
        <v>0</v>
      </c>
      <c r="AG75" s="328">
        <v>0</v>
      </c>
      <c r="AH75" s="329" t="s">
        <v>934</v>
      </c>
      <c r="AI75" s="184">
        <v>0</v>
      </c>
      <c r="AJ75" s="184">
        <v>2</v>
      </c>
      <c r="AK75" s="184">
        <v>0</v>
      </c>
      <c r="AL75" s="184">
        <v>1</v>
      </c>
      <c r="AM75" s="184">
        <v>5</v>
      </c>
      <c r="AN75" s="184">
        <v>1</v>
      </c>
      <c r="AO75" s="184">
        <v>5</v>
      </c>
      <c r="AP75" s="184">
        <v>0</v>
      </c>
      <c r="AQ75" s="336">
        <v>14</v>
      </c>
      <c r="AR75" s="323">
        <v>0</v>
      </c>
      <c r="AS75" s="323">
        <v>10</v>
      </c>
      <c r="AT75" s="323">
        <v>145</v>
      </c>
      <c r="AU75" s="323">
        <v>355</v>
      </c>
      <c r="AV75" s="323">
        <v>351</v>
      </c>
      <c r="AW75" s="323">
        <v>748</v>
      </c>
      <c r="AX75" s="323">
        <v>187</v>
      </c>
      <c r="AY75" s="323">
        <v>175</v>
      </c>
      <c r="AZ75" s="323">
        <v>15</v>
      </c>
      <c r="BA75" s="323">
        <v>1986</v>
      </c>
      <c r="BB75" s="331">
        <v>0</v>
      </c>
      <c r="BC75" s="330">
        <v>0</v>
      </c>
      <c r="BD75" s="330">
        <v>1</v>
      </c>
      <c r="BE75" s="330">
        <v>6</v>
      </c>
      <c r="BF75" s="330">
        <v>11</v>
      </c>
      <c r="BG75" s="330">
        <v>17</v>
      </c>
      <c r="BH75" s="330">
        <v>9</v>
      </c>
      <c r="BI75" s="330">
        <v>5</v>
      </c>
      <c r="BJ75" s="330">
        <v>0</v>
      </c>
      <c r="BK75" s="328">
        <v>49</v>
      </c>
      <c r="BL75" s="323">
        <v>0</v>
      </c>
      <c r="BM75" s="323">
        <v>0</v>
      </c>
      <c r="BN75" s="323">
        <v>0</v>
      </c>
      <c r="BO75" s="323">
        <v>0</v>
      </c>
      <c r="BP75" s="323">
        <v>0</v>
      </c>
      <c r="BQ75" s="323">
        <v>0</v>
      </c>
      <c r="BR75" s="323">
        <v>0</v>
      </c>
      <c r="BS75" s="323">
        <v>0</v>
      </c>
      <c r="BT75" s="323">
        <v>0</v>
      </c>
      <c r="BU75" s="323">
        <v>0</v>
      </c>
      <c r="BV75" s="329" t="s">
        <v>934</v>
      </c>
      <c r="BW75" s="330">
        <v>0</v>
      </c>
      <c r="BX75" s="330">
        <v>18</v>
      </c>
      <c r="BY75" s="330">
        <v>73</v>
      </c>
      <c r="BZ75" s="330">
        <v>209</v>
      </c>
      <c r="CA75" s="330">
        <v>633</v>
      </c>
      <c r="CB75" s="330">
        <v>338</v>
      </c>
      <c r="CC75" s="330">
        <v>219</v>
      </c>
      <c r="CD75" s="330">
        <v>15</v>
      </c>
      <c r="CE75" s="328">
        <v>1505</v>
      </c>
      <c r="CF75" s="322" t="s">
        <v>934</v>
      </c>
      <c r="CG75" s="323">
        <v>0</v>
      </c>
      <c r="CH75" s="323">
        <v>2</v>
      </c>
      <c r="CI75" s="323">
        <v>5</v>
      </c>
      <c r="CJ75" s="323">
        <v>6</v>
      </c>
      <c r="CK75" s="323">
        <v>34</v>
      </c>
      <c r="CL75" s="323">
        <v>7</v>
      </c>
      <c r="CM75" s="323">
        <v>0</v>
      </c>
      <c r="CN75" s="323">
        <v>1</v>
      </c>
      <c r="CO75" s="323">
        <v>55</v>
      </c>
      <c r="CP75" s="329" t="s">
        <v>934</v>
      </c>
      <c r="CQ75" s="330">
        <v>0</v>
      </c>
      <c r="CR75" s="330">
        <v>0</v>
      </c>
      <c r="CS75" s="330">
        <v>0</v>
      </c>
      <c r="CT75" s="330">
        <v>0</v>
      </c>
      <c r="CU75" s="330">
        <v>0</v>
      </c>
      <c r="CV75" s="330">
        <v>0</v>
      </c>
      <c r="CW75" s="330">
        <v>0</v>
      </c>
      <c r="CX75" s="330">
        <v>0</v>
      </c>
      <c r="CY75" s="328">
        <v>0</v>
      </c>
      <c r="CZ75" s="322" t="s">
        <v>934</v>
      </c>
      <c r="DA75" s="323">
        <v>0</v>
      </c>
      <c r="DB75" s="323">
        <v>0</v>
      </c>
      <c r="DC75" s="323">
        <v>0</v>
      </c>
      <c r="DD75" s="323">
        <v>0</v>
      </c>
      <c r="DE75" s="323">
        <v>0</v>
      </c>
      <c r="DF75" s="323">
        <v>0</v>
      </c>
      <c r="DG75" s="323">
        <v>0</v>
      </c>
      <c r="DH75" s="323">
        <v>0</v>
      </c>
      <c r="DI75" s="323">
        <v>0</v>
      </c>
      <c r="DJ75" s="337">
        <v>0</v>
      </c>
      <c r="DK75" s="644">
        <v>5467.4</v>
      </c>
      <c r="DL75" s="616">
        <v>8</v>
      </c>
      <c r="DM75" s="616">
        <v>241</v>
      </c>
      <c r="DN75" s="616">
        <v>639</v>
      </c>
      <c r="DO75" s="616">
        <v>818</v>
      </c>
      <c r="DP75" s="616">
        <v>2208</v>
      </c>
      <c r="DQ75" s="616">
        <v>954</v>
      </c>
      <c r="DR75" s="616">
        <v>866</v>
      </c>
      <c r="DS75" s="617">
        <v>102</v>
      </c>
      <c r="DT75" s="608">
        <f t="shared" si="1"/>
        <v>5836</v>
      </c>
      <c r="DU75" s="342"/>
      <c r="EC75" s="646"/>
      <c r="EF75" s="125"/>
      <c r="EG75" s="128"/>
    </row>
    <row r="76" spans="1:137" ht="15">
      <c r="A76" s="22">
        <v>68</v>
      </c>
      <c r="B76" s="23" t="s">
        <v>267</v>
      </c>
      <c r="C76" s="24" t="s">
        <v>268</v>
      </c>
      <c r="D76" s="613"/>
      <c r="E76" s="628">
        <v>8539</v>
      </c>
      <c r="F76" s="628">
        <v>18291</v>
      </c>
      <c r="G76" s="628">
        <v>18255</v>
      </c>
      <c r="H76" s="628">
        <v>12255</v>
      </c>
      <c r="I76" s="628">
        <v>7096</v>
      </c>
      <c r="J76" s="628">
        <v>3472</v>
      </c>
      <c r="K76" s="628">
        <v>2185</v>
      </c>
      <c r="L76" s="628">
        <v>148</v>
      </c>
      <c r="M76" s="627">
        <v>70241</v>
      </c>
      <c r="N76" s="322"/>
      <c r="O76" s="323">
        <v>799</v>
      </c>
      <c r="P76" s="323">
        <v>1148</v>
      </c>
      <c r="Q76" s="323">
        <v>1032</v>
      </c>
      <c r="R76" s="323">
        <v>550</v>
      </c>
      <c r="S76" s="323">
        <v>271</v>
      </c>
      <c r="T76" s="323">
        <v>62</v>
      </c>
      <c r="U76" s="323">
        <v>115</v>
      </c>
      <c r="V76" s="323">
        <v>27</v>
      </c>
      <c r="W76" s="323">
        <v>4004</v>
      </c>
      <c r="X76" s="329" t="s">
        <v>934</v>
      </c>
      <c r="Y76" s="330">
        <v>9</v>
      </c>
      <c r="Z76" s="330">
        <v>1</v>
      </c>
      <c r="AA76" s="330">
        <v>1</v>
      </c>
      <c r="AB76" s="330">
        <v>0</v>
      </c>
      <c r="AC76" s="330">
        <v>0</v>
      </c>
      <c r="AD76" s="330">
        <v>0</v>
      </c>
      <c r="AE76" s="330">
        <v>0</v>
      </c>
      <c r="AF76" s="330">
        <v>0</v>
      </c>
      <c r="AG76" s="328">
        <v>11</v>
      </c>
      <c r="AH76" s="329" t="s">
        <v>934</v>
      </c>
      <c r="AI76" s="184">
        <v>39</v>
      </c>
      <c r="AJ76" s="184">
        <v>119</v>
      </c>
      <c r="AK76" s="184">
        <v>183</v>
      </c>
      <c r="AL76" s="184">
        <v>182</v>
      </c>
      <c r="AM76" s="184">
        <v>106</v>
      </c>
      <c r="AN76" s="184">
        <v>47</v>
      </c>
      <c r="AO76" s="184">
        <v>42</v>
      </c>
      <c r="AP76" s="184">
        <v>13</v>
      </c>
      <c r="AQ76" s="336">
        <v>731</v>
      </c>
      <c r="AR76" s="323">
        <v>24</v>
      </c>
      <c r="AS76" s="323">
        <v>5218</v>
      </c>
      <c r="AT76" s="323">
        <v>7054</v>
      </c>
      <c r="AU76" s="323">
        <v>5196</v>
      </c>
      <c r="AV76" s="323">
        <v>2759</v>
      </c>
      <c r="AW76" s="323">
        <v>1119</v>
      </c>
      <c r="AX76" s="323">
        <v>426</v>
      </c>
      <c r="AY76" s="323">
        <v>207</v>
      </c>
      <c r="AZ76" s="323">
        <v>16</v>
      </c>
      <c r="BA76" s="323">
        <v>22019</v>
      </c>
      <c r="BB76" s="331">
        <v>0</v>
      </c>
      <c r="BC76" s="330">
        <v>49</v>
      </c>
      <c r="BD76" s="330">
        <v>163</v>
      </c>
      <c r="BE76" s="330">
        <v>154</v>
      </c>
      <c r="BF76" s="330">
        <v>102</v>
      </c>
      <c r="BG76" s="330">
        <v>48</v>
      </c>
      <c r="BH76" s="330">
        <v>22</v>
      </c>
      <c r="BI76" s="330">
        <v>13</v>
      </c>
      <c r="BJ76" s="330">
        <v>0</v>
      </c>
      <c r="BK76" s="328">
        <v>551</v>
      </c>
      <c r="BL76" s="323">
        <v>3</v>
      </c>
      <c r="BM76" s="323">
        <v>3</v>
      </c>
      <c r="BN76" s="323">
        <v>14</v>
      </c>
      <c r="BO76" s="323">
        <v>10</v>
      </c>
      <c r="BP76" s="323">
        <v>17</v>
      </c>
      <c r="BQ76" s="323">
        <v>10</v>
      </c>
      <c r="BR76" s="323">
        <v>28</v>
      </c>
      <c r="BS76" s="323">
        <v>20</v>
      </c>
      <c r="BT76" s="323">
        <v>0</v>
      </c>
      <c r="BU76" s="323">
        <v>105</v>
      </c>
      <c r="BV76" s="329" t="s">
        <v>934</v>
      </c>
      <c r="BW76" s="330">
        <v>83</v>
      </c>
      <c r="BX76" s="330">
        <v>175</v>
      </c>
      <c r="BY76" s="330">
        <v>145</v>
      </c>
      <c r="BZ76" s="330">
        <v>93</v>
      </c>
      <c r="CA76" s="330">
        <v>46</v>
      </c>
      <c r="CB76" s="330">
        <v>21</v>
      </c>
      <c r="CC76" s="330">
        <v>20</v>
      </c>
      <c r="CD76" s="330">
        <v>2</v>
      </c>
      <c r="CE76" s="328">
        <v>585</v>
      </c>
      <c r="CF76" s="322" t="s">
        <v>934</v>
      </c>
      <c r="CG76" s="323">
        <v>103</v>
      </c>
      <c r="CH76" s="323">
        <v>188</v>
      </c>
      <c r="CI76" s="323">
        <v>115</v>
      </c>
      <c r="CJ76" s="323">
        <v>81</v>
      </c>
      <c r="CK76" s="323">
        <v>30</v>
      </c>
      <c r="CL76" s="323">
        <v>10</v>
      </c>
      <c r="CM76" s="323">
        <v>14</v>
      </c>
      <c r="CN76" s="323">
        <v>2</v>
      </c>
      <c r="CO76" s="323">
        <v>543</v>
      </c>
      <c r="CP76" s="329" t="s">
        <v>934</v>
      </c>
      <c r="CQ76" s="330">
        <v>0</v>
      </c>
      <c r="CR76" s="330">
        <v>0</v>
      </c>
      <c r="CS76" s="330">
        <v>0</v>
      </c>
      <c r="CT76" s="330">
        <v>0</v>
      </c>
      <c r="CU76" s="330">
        <v>0</v>
      </c>
      <c r="CV76" s="330">
        <v>0</v>
      </c>
      <c r="CW76" s="330">
        <v>0</v>
      </c>
      <c r="CX76" s="330">
        <v>0</v>
      </c>
      <c r="CY76" s="328">
        <v>0</v>
      </c>
      <c r="CZ76" s="322" t="s">
        <v>934</v>
      </c>
      <c r="DA76" s="323">
        <v>0</v>
      </c>
      <c r="DB76" s="323">
        <v>0</v>
      </c>
      <c r="DC76" s="323">
        <v>0</v>
      </c>
      <c r="DD76" s="323">
        <v>0</v>
      </c>
      <c r="DE76" s="323">
        <v>0</v>
      </c>
      <c r="DF76" s="323">
        <v>0</v>
      </c>
      <c r="DG76" s="323">
        <v>0</v>
      </c>
      <c r="DH76" s="323">
        <v>0</v>
      </c>
      <c r="DI76" s="323">
        <v>0</v>
      </c>
      <c r="DJ76" s="337">
        <v>931.6</v>
      </c>
      <c r="DK76" s="644">
        <v>57917.8</v>
      </c>
      <c r="DL76" s="614">
        <v>8571</v>
      </c>
      <c r="DM76" s="614">
        <v>18960</v>
      </c>
      <c r="DN76" s="614">
        <v>18551</v>
      </c>
      <c r="DO76" s="614">
        <v>12497</v>
      </c>
      <c r="DP76" s="614">
        <v>7256</v>
      </c>
      <c r="DQ76" s="614">
        <v>3550</v>
      </c>
      <c r="DR76" s="614">
        <v>2213</v>
      </c>
      <c r="DS76" s="615">
        <v>147</v>
      </c>
      <c r="DT76" s="607">
        <f t="shared" si="1"/>
        <v>71745</v>
      </c>
      <c r="DU76" s="342"/>
      <c r="EC76" s="646"/>
      <c r="EF76" s="123"/>
      <c r="EG76" s="124"/>
    </row>
    <row r="77" spans="1:137" ht="15">
      <c r="A77" s="22">
        <v>69</v>
      </c>
      <c r="B77" s="23" t="s">
        <v>269</v>
      </c>
      <c r="C77" s="24" t="s">
        <v>270</v>
      </c>
      <c r="D77" s="613"/>
      <c r="E77" s="636">
        <v>4486</v>
      </c>
      <c r="F77" s="636">
        <v>9426</v>
      </c>
      <c r="G77" s="636">
        <v>9920</v>
      </c>
      <c r="H77" s="636">
        <v>6559</v>
      </c>
      <c r="I77" s="636">
        <v>5406</v>
      </c>
      <c r="J77" s="636">
        <v>2907</v>
      </c>
      <c r="K77" s="636">
        <v>1597</v>
      </c>
      <c r="L77" s="636">
        <v>94</v>
      </c>
      <c r="M77" s="627">
        <v>40395</v>
      </c>
      <c r="N77" s="322"/>
      <c r="O77" s="323">
        <v>240</v>
      </c>
      <c r="P77" s="323">
        <v>338</v>
      </c>
      <c r="Q77" s="323">
        <v>211</v>
      </c>
      <c r="R77" s="323">
        <v>118</v>
      </c>
      <c r="S77" s="323">
        <v>62</v>
      </c>
      <c r="T77" s="323">
        <v>40</v>
      </c>
      <c r="U77" s="323">
        <v>31</v>
      </c>
      <c r="V77" s="323">
        <v>2</v>
      </c>
      <c r="W77" s="323">
        <v>1042</v>
      </c>
      <c r="X77" s="329" t="s">
        <v>934</v>
      </c>
      <c r="Y77" s="330">
        <v>0</v>
      </c>
      <c r="Z77" s="330">
        <v>0</v>
      </c>
      <c r="AA77" s="330">
        <v>0</v>
      </c>
      <c r="AB77" s="330">
        <v>0</v>
      </c>
      <c r="AC77" s="330">
        <v>0</v>
      </c>
      <c r="AD77" s="330">
        <v>0</v>
      </c>
      <c r="AE77" s="330">
        <v>0</v>
      </c>
      <c r="AF77" s="330">
        <v>0</v>
      </c>
      <c r="AG77" s="328">
        <v>0</v>
      </c>
      <c r="AH77" s="329" t="s">
        <v>934</v>
      </c>
      <c r="AI77" s="184">
        <v>9</v>
      </c>
      <c r="AJ77" s="184">
        <v>38</v>
      </c>
      <c r="AK77" s="184">
        <v>66</v>
      </c>
      <c r="AL77" s="184">
        <v>34</v>
      </c>
      <c r="AM77" s="184">
        <v>29</v>
      </c>
      <c r="AN77" s="184">
        <v>27</v>
      </c>
      <c r="AO77" s="184">
        <v>17</v>
      </c>
      <c r="AP77" s="184">
        <v>10</v>
      </c>
      <c r="AQ77" s="336">
        <v>230</v>
      </c>
      <c r="AR77" s="323">
        <v>1</v>
      </c>
      <c r="AS77" s="323">
        <v>2376</v>
      </c>
      <c r="AT77" s="323">
        <v>3739</v>
      </c>
      <c r="AU77" s="323">
        <v>2874</v>
      </c>
      <c r="AV77" s="323">
        <v>1519</v>
      </c>
      <c r="AW77" s="323">
        <v>775</v>
      </c>
      <c r="AX77" s="323">
        <v>322</v>
      </c>
      <c r="AY77" s="323">
        <v>142</v>
      </c>
      <c r="AZ77" s="323">
        <v>7</v>
      </c>
      <c r="BA77" s="323">
        <v>11755</v>
      </c>
      <c r="BB77" s="331">
        <v>0</v>
      </c>
      <c r="BC77" s="330">
        <v>23</v>
      </c>
      <c r="BD77" s="330">
        <v>72</v>
      </c>
      <c r="BE77" s="330">
        <v>71</v>
      </c>
      <c r="BF77" s="330">
        <v>32</v>
      </c>
      <c r="BG77" s="330">
        <v>32</v>
      </c>
      <c r="BH77" s="330">
        <v>14</v>
      </c>
      <c r="BI77" s="330">
        <v>6</v>
      </c>
      <c r="BJ77" s="330">
        <v>0</v>
      </c>
      <c r="BK77" s="328">
        <v>250</v>
      </c>
      <c r="BL77" s="323">
        <v>0</v>
      </c>
      <c r="BM77" s="323">
        <v>2</v>
      </c>
      <c r="BN77" s="323">
        <v>2</v>
      </c>
      <c r="BO77" s="323">
        <v>0</v>
      </c>
      <c r="BP77" s="323">
        <v>2</v>
      </c>
      <c r="BQ77" s="323">
        <v>1</v>
      </c>
      <c r="BR77" s="323">
        <v>4</v>
      </c>
      <c r="BS77" s="323">
        <v>12</v>
      </c>
      <c r="BT77" s="323">
        <v>3</v>
      </c>
      <c r="BU77" s="323">
        <v>26</v>
      </c>
      <c r="BV77" s="329" t="s">
        <v>934</v>
      </c>
      <c r="BW77" s="330">
        <v>21</v>
      </c>
      <c r="BX77" s="330">
        <v>42</v>
      </c>
      <c r="BY77" s="330">
        <v>25</v>
      </c>
      <c r="BZ77" s="330">
        <v>11</v>
      </c>
      <c r="CA77" s="330">
        <v>17</v>
      </c>
      <c r="CB77" s="330">
        <v>9</v>
      </c>
      <c r="CC77" s="330">
        <v>4</v>
      </c>
      <c r="CD77" s="330">
        <v>2</v>
      </c>
      <c r="CE77" s="328">
        <v>131</v>
      </c>
      <c r="CF77" s="322" t="s">
        <v>934</v>
      </c>
      <c r="CG77" s="323">
        <v>207</v>
      </c>
      <c r="CH77" s="323">
        <v>175</v>
      </c>
      <c r="CI77" s="323">
        <v>163</v>
      </c>
      <c r="CJ77" s="323">
        <v>97</v>
      </c>
      <c r="CK77" s="323">
        <v>54</v>
      </c>
      <c r="CL77" s="323">
        <v>38</v>
      </c>
      <c r="CM77" s="323">
        <v>20</v>
      </c>
      <c r="CN77" s="323">
        <v>0</v>
      </c>
      <c r="CO77" s="323">
        <v>754</v>
      </c>
      <c r="CP77" s="329" t="s">
        <v>934</v>
      </c>
      <c r="CQ77" s="330">
        <v>0</v>
      </c>
      <c r="CR77" s="330">
        <v>0</v>
      </c>
      <c r="CS77" s="330">
        <v>0</v>
      </c>
      <c r="CT77" s="330">
        <v>0</v>
      </c>
      <c r="CU77" s="330">
        <v>0</v>
      </c>
      <c r="CV77" s="330">
        <v>0</v>
      </c>
      <c r="CW77" s="330">
        <v>0</v>
      </c>
      <c r="CX77" s="330">
        <v>0</v>
      </c>
      <c r="CY77" s="328">
        <v>0</v>
      </c>
      <c r="CZ77" s="322" t="s">
        <v>934</v>
      </c>
      <c r="DA77" s="323">
        <v>0</v>
      </c>
      <c r="DB77" s="323">
        <v>0</v>
      </c>
      <c r="DC77" s="323">
        <v>0</v>
      </c>
      <c r="DD77" s="323">
        <v>0</v>
      </c>
      <c r="DE77" s="323">
        <v>0</v>
      </c>
      <c r="DF77" s="323">
        <v>0</v>
      </c>
      <c r="DG77" s="323">
        <v>0</v>
      </c>
      <c r="DH77" s="323">
        <v>0</v>
      </c>
      <c r="DI77" s="323">
        <v>0</v>
      </c>
      <c r="DJ77" s="337">
        <v>0</v>
      </c>
      <c r="DK77" s="644">
        <v>35368.8</v>
      </c>
      <c r="DL77" s="616">
        <v>4501</v>
      </c>
      <c r="DM77" s="616">
        <v>9469</v>
      </c>
      <c r="DN77" s="616">
        <v>9910</v>
      </c>
      <c r="DO77" s="616">
        <v>6578</v>
      </c>
      <c r="DP77" s="616">
        <v>5417</v>
      </c>
      <c r="DQ77" s="616">
        <v>2933</v>
      </c>
      <c r="DR77" s="616">
        <v>1605</v>
      </c>
      <c r="DS77" s="617">
        <v>97</v>
      </c>
      <c r="DT77" s="607">
        <f t="shared" si="1"/>
        <v>40510</v>
      </c>
      <c r="DU77" s="342"/>
      <c r="EC77" s="646"/>
      <c r="EF77" s="130"/>
      <c r="EG77" s="124"/>
    </row>
    <row r="78" spans="1:137" ht="15">
      <c r="A78" s="22">
        <v>70</v>
      </c>
      <c r="B78" s="23" t="s">
        <v>271</v>
      </c>
      <c r="C78" s="24" t="s">
        <v>272</v>
      </c>
      <c r="D78" s="613"/>
      <c r="E78" s="628">
        <v>19231</v>
      </c>
      <c r="F78" s="628">
        <v>4247</v>
      </c>
      <c r="G78" s="628">
        <v>3845</v>
      </c>
      <c r="H78" s="628">
        <v>2879</v>
      </c>
      <c r="I78" s="628">
        <v>1630</v>
      </c>
      <c r="J78" s="628">
        <v>405</v>
      </c>
      <c r="K78" s="628">
        <v>85</v>
      </c>
      <c r="L78" s="628">
        <v>15</v>
      </c>
      <c r="M78" s="627">
        <v>32337</v>
      </c>
      <c r="N78" s="322"/>
      <c r="O78" s="323">
        <v>577</v>
      </c>
      <c r="P78" s="323">
        <v>84</v>
      </c>
      <c r="Q78" s="323">
        <v>67</v>
      </c>
      <c r="R78" s="323">
        <v>31</v>
      </c>
      <c r="S78" s="323">
        <v>20</v>
      </c>
      <c r="T78" s="323">
        <v>6</v>
      </c>
      <c r="U78" s="323">
        <v>2</v>
      </c>
      <c r="V78" s="323">
        <v>1</v>
      </c>
      <c r="W78" s="323">
        <v>788</v>
      </c>
      <c r="X78" s="329" t="s">
        <v>934</v>
      </c>
      <c r="Y78" s="330">
        <v>2</v>
      </c>
      <c r="Z78" s="330">
        <v>0</v>
      </c>
      <c r="AA78" s="330">
        <v>0</v>
      </c>
      <c r="AB78" s="330">
        <v>0</v>
      </c>
      <c r="AC78" s="330">
        <v>0</v>
      </c>
      <c r="AD78" s="330">
        <v>0</v>
      </c>
      <c r="AE78" s="330">
        <v>0</v>
      </c>
      <c r="AF78" s="330">
        <v>0</v>
      </c>
      <c r="AG78" s="328">
        <v>2</v>
      </c>
      <c r="AH78" s="329" t="s">
        <v>934</v>
      </c>
      <c r="AI78" s="184">
        <v>74</v>
      </c>
      <c r="AJ78" s="184">
        <v>30</v>
      </c>
      <c r="AK78" s="184">
        <v>39</v>
      </c>
      <c r="AL78" s="184">
        <v>26</v>
      </c>
      <c r="AM78" s="184">
        <v>19</v>
      </c>
      <c r="AN78" s="184">
        <v>10</v>
      </c>
      <c r="AO78" s="184">
        <v>4</v>
      </c>
      <c r="AP78" s="184">
        <v>4</v>
      </c>
      <c r="AQ78" s="336">
        <v>206</v>
      </c>
      <c r="AR78" s="323">
        <v>11</v>
      </c>
      <c r="AS78" s="323">
        <v>7658</v>
      </c>
      <c r="AT78" s="323">
        <v>1197</v>
      </c>
      <c r="AU78" s="323">
        <v>815</v>
      </c>
      <c r="AV78" s="323">
        <v>499</v>
      </c>
      <c r="AW78" s="323">
        <v>230</v>
      </c>
      <c r="AX78" s="323">
        <v>49</v>
      </c>
      <c r="AY78" s="323">
        <v>7</v>
      </c>
      <c r="AZ78" s="323">
        <v>0</v>
      </c>
      <c r="BA78" s="323">
        <v>10466</v>
      </c>
      <c r="BB78" s="331">
        <v>2</v>
      </c>
      <c r="BC78" s="330">
        <v>126</v>
      </c>
      <c r="BD78" s="330">
        <v>39</v>
      </c>
      <c r="BE78" s="330">
        <v>35</v>
      </c>
      <c r="BF78" s="330">
        <v>17</v>
      </c>
      <c r="BG78" s="330">
        <v>10</v>
      </c>
      <c r="BH78" s="330">
        <v>0</v>
      </c>
      <c r="BI78" s="330">
        <v>0</v>
      </c>
      <c r="BJ78" s="330">
        <v>0</v>
      </c>
      <c r="BK78" s="328">
        <v>229</v>
      </c>
      <c r="BL78" s="323">
        <v>2</v>
      </c>
      <c r="BM78" s="323">
        <v>10</v>
      </c>
      <c r="BN78" s="323">
        <v>3</v>
      </c>
      <c r="BO78" s="323">
        <v>3</v>
      </c>
      <c r="BP78" s="323">
        <v>9</v>
      </c>
      <c r="BQ78" s="323">
        <v>2</v>
      </c>
      <c r="BR78" s="323">
        <v>5</v>
      </c>
      <c r="BS78" s="323">
        <v>5</v>
      </c>
      <c r="BT78" s="323">
        <v>5</v>
      </c>
      <c r="BU78" s="323">
        <v>44</v>
      </c>
      <c r="BV78" s="329" t="s">
        <v>934</v>
      </c>
      <c r="BW78" s="330">
        <v>736</v>
      </c>
      <c r="BX78" s="330">
        <v>142</v>
      </c>
      <c r="BY78" s="330">
        <v>126</v>
      </c>
      <c r="BZ78" s="330">
        <v>83</v>
      </c>
      <c r="CA78" s="330">
        <v>56</v>
      </c>
      <c r="CB78" s="330">
        <v>18</v>
      </c>
      <c r="CC78" s="330">
        <v>6</v>
      </c>
      <c r="CD78" s="330">
        <v>3</v>
      </c>
      <c r="CE78" s="328">
        <v>1170</v>
      </c>
      <c r="CF78" s="322" t="s">
        <v>934</v>
      </c>
      <c r="CG78" s="323">
        <v>251</v>
      </c>
      <c r="CH78" s="323">
        <v>33</v>
      </c>
      <c r="CI78" s="323">
        <v>22</v>
      </c>
      <c r="CJ78" s="323">
        <v>18</v>
      </c>
      <c r="CK78" s="323">
        <v>7</v>
      </c>
      <c r="CL78" s="323">
        <v>0</v>
      </c>
      <c r="CM78" s="323">
        <v>0</v>
      </c>
      <c r="CN78" s="323">
        <v>0</v>
      </c>
      <c r="CO78" s="323">
        <v>331</v>
      </c>
      <c r="CP78" s="329" t="s">
        <v>934</v>
      </c>
      <c r="CQ78" s="330">
        <v>0</v>
      </c>
      <c r="CR78" s="330">
        <v>0</v>
      </c>
      <c r="CS78" s="330">
        <v>0</v>
      </c>
      <c r="CT78" s="330">
        <v>0</v>
      </c>
      <c r="CU78" s="330">
        <v>0</v>
      </c>
      <c r="CV78" s="330">
        <v>0</v>
      </c>
      <c r="CW78" s="330">
        <v>0</v>
      </c>
      <c r="CX78" s="330">
        <v>0</v>
      </c>
      <c r="CY78" s="328">
        <v>0</v>
      </c>
      <c r="CZ78" s="322" t="s">
        <v>934</v>
      </c>
      <c r="DA78" s="323">
        <v>0</v>
      </c>
      <c r="DB78" s="323">
        <v>0</v>
      </c>
      <c r="DC78" s="323">
        <v>0</v>
      </c>
      <c r="DD78" s="323">
        <v>0</v>
      </c>
      <c r="DE78" s="323">
        <v>0</v>
      </c>
      <c r="DF78" s="323">
        <v>0</v>
      </c>
      <c r="DG78" s="323">
        <v>0</v>
      </c>
      <c r="DH78" s="323">
        <v>0</v>
      </c>
      <c r="DI78" s="323">
        <v>0</v>
      </c>
      <c r="DJ78" s="337">
        <v>0</v>
      </c>
      <c r="DK78" s="644">
        <v>22012.9</v>
      </c>
      <c r="DL78" s="614">
        <v>19247</v>
      </c>
      <c r="DM78" s="614">
        <v>4302</v>
      </c>
      <c r="DN78" s="614">
        <v>3897</v>
      </c>
      <c r="DO78" s="614">
        <v>2895</v>
      </c>
      <c r="DP78" s="614">
        <v>1676</v>
      </c>
      <c r="DQ78" s="614">
        <v>414</v>
      </c>
      <c r="DR78" s="614">
        <v>86</v>
      </c>
      <c r="DS78" s="615">
        <v>15</v>
      </c>
      <c r="DT78" s="607">
        <f t="shared" si="1"/>
        <v>32532</v>
      </c>
      <c r="DU78" s="342"/>
      <c r="EC78" s="646"/>
      <c r="EF78" s="123"/>
      <c r="EG78" s="124"/>
    </row>
    <row r="79" spans="1:137" ht="15">
      <c r="A79" s="22">
        <v>71</v>
      </c>
      <c r="B79" s="23" t="s">
        <v>273</v>
      </c>
      <c r="C79" s="24" t="s">
        <v>274</v>
      </c>
      <c r="D79" s="613"/>
      <c r="E79" s="630">
        <v>13805</v>
      </c>
      <c r="F79" s="630">
        <v>5074</v>
      </c>
      <c r="G79" s="630">
        <v>2133</v>
      </c>
      <c r="H79" s="630">
        <v>1929</v>
      </c>
      <c r="I79" s="630">
        <v>746</v>
      </c>
      <c r="J79" s="630">
        <v>222</v>
      </c>
      <c r="K79" s="630">
        <v>141</v>
      </c>
      <c r="L79" s="630">
        <v>17</v>
      </c>
      <c r="M79" s="627">
        <v>24067</v>
      </c>
      <c r="N79" s="322"/>
      <c r="O79" s="323">
        <v>420</v>
      </c>
      <c r="P79" s="323">
        <v>92</v>
      </c>
      <c r="Q79" s="323">
        <v>51</v>
      </c>
      <c r="R79" s="323">
        <v>27</v>
      </c>
      <c r="S79" s="323">
        <v>9</v>
      </c>
      <c r="T79" s="323">
        <v>5</v>
      </c>
      <c r="U79" s="323">
        <v>1</v>
      </c>
      <c r="V79" s="323">
        <v>0</v>
      </c>
      <c r="W79" s="323">
        <v>605</v>
      </c>
      <c r="X79" s="329" t="s">
        <v>934</v>
      </c>
      <c r="Y79" s="330">
        <v>0</v>
      </c>
      <c r="Z79" s="330">
        <v>0</v>
      </c>
      <c r="AA79" s="330">
        <v>0</v>
      </c>
      <c r="AB79" s="330">
        <v>0</v>
      </c>
      <c r="AC79" s="330">
        <v>0</v>
      </c>
      <c r="AD79" s="330">
        <v>0</v>
      </c>
      <c r="AE79" s="330">
        <v>0</v>
      </c>
      <c r="AF79" s="330">
        <v>0</v>
      </c>
      <c r="AG79" s="328">
        <v>0</v>
      </c>
      <c r="AH79" s="329" t="s">
        <v>934</v>
      </c>
      <c r="AI79" s="184">
        <v>36</v>
      </c>
      <c r="AJ79" s="184">
        <v>49</v>
      </c>
      <c r="AK79" s="184">
        <v>17</v>
      </c>
      <c r="AL79" s="184">
        <v>16</v>
      </c>
      <c r="AM79" s="184">
        <v>6</v>
      </c>
      <c r="AN79" s="184">
        <v>1</v>
      </c>
      <c r="AO79" s="184">
        <v>0</v>
      </c>
      <c r="AP79" s="184">
        <v>3</v>
      </c>
      <c r="AQ79" s="336">
        <v>128</v>
      </c>
      <c r="AR79" s="323">
        <v>5</v>
      </c>
      <c r="AS79" s="323">
        <v>5626</v>
      </c>
      <c r="AT79" s="323">
        <v>1605</v>
      </c>
      <c r="AU79" s="323">
        <v>471</v>
      </c>
      <c r="AV79" s="323">
        <v>335</v>
      </c>
      <c r="AW79" s="323">
        <v>94</v>
      </c>
      <c r="AX79" s="323">
        <v>34</v>
      </c>
      <c r="AY79" s="323">
        <v>8</v>
      </c>
      <c r="AZ79" s="323">
        <v>2</v>
      </c>
      <c r="BA79" s="323">
        <v>8180</v>
      </c>
      <c r="BB79" s="331">
        <v>4</v>
      </c>
      <c r="BC79" s="330">
        <v>66</v>
      </c>
      <c r="BD79" s="330">
        <v>35</v>
      </c>
      <c r="BE79" s="330">
        <v>16</v>
      </c>
      <c r="BF79" s="330">
        <v>11</v>
      </c>
      <c r="BG79" s="330">
        <v>2</v>
      </c>
      <c r="BH79" s="330">
        <v>1</v>
      </c>
      <c r="BI79" s="330">
        <v>1</v>
      </c>
      <c r="BJ79" s="330">
        <v>1</v>
      </c>
      <c r="BK79" s="328">
        <v>137</v>
      </c>
      <c r="BL79" s="323">
        <v>0</v>
      </c>
      <c r="BM79" s="323">
        <v>5</v>
      </c>
      <c r="BN79" s="323">
        <v>4</v>
      </c>
      <c r="BO79" s="323">
        <v>1</v>
      </c>
      <c r="BP79" s="323">
        <v>5</v>
      </c>
      <c r="BQ79" s="323">
        <v>2</v>
      </c>
      <c r="BR79" s="323">
        <v>0</v>
      </c>
      <c r="BS79" s="323">
        <v>5</v>
      </c>
      <c r="BT79" s="323">
        <v>1</v>
      </c>
      <c r="BU79" s="323">
        <v>23</v>
      </c>
      <c r="BV79" s="329" t="s">
        <v>934</v>
      </c>
      <c r="BW79" s="330">
        <v>4</v>
      </c>
      <c r="BX79" s="330">
        <v>0</v>
      </c>
      <c r="BY79" s="330">
        <v>4</v>
      </c>
      <c r="BZ79" s="330">
        <v>6</v>
      </c>
      <c r="CA79" s="330">
        <v>1</v>
      </c>
      <c r="CB79" s="330">
        <v>0</v>
      </c>
      <c r="CC79" s="330">
        <v>2</v>
      </c>
      <c r="CD79" s="330">
        <v>0</v>
      </c>
      <c r="CE79" s="328">
        <v>17</v>
      </c>
      <c r="CF79" s="322" t="s">
        <v>934</v>
      </c>
      <c r="CG79" s="323">
        <v>400</v>
      </c>
      <c r="CH79" s="323">
        <v>40</v>
      </c>
      <c r="CI79" s="323">
        <v>16</v>
      </c>
      <c r="CJ79" s="323">
        <v>19</v>
      </c>
      <c r="CK79" s="323">
        <v>8</v>
      </c>
      <c r="CL79" s="323">
        <v>2</v>
      </c>
      <c r="CM79" s="323">
        <v>2</v>
      </c>
      <c r="CN79" s="323">
        <v>1</v>
      </c>
      <c r="CO79" s="323">
        <v>488</v>
      </c>
      <c r="CP79" s="329" t="s">
        <v>934</v>
      </c>
      <c r="CQ79" s="330">
        <v>0</v>
      </c>
      <c r="CR79" s="330">
        <v>0</v>
      </c>
      <c r="CS79" s="330">
        <v>0</v>
      </c>
      <c r="CT79" s="330">
        <v>0</v>
      </c>
      <c r="CU79" s="330">
        <v>0</v>
      </c>
      <c r="CV79" s="330">
        <v>0</v>
      </c>
      <c r="CW79" s="330">
        <v>0</v>
      </c>
      <c r="CX79" s="330">
        <v>0</v>
      </c>
      <c r="CY79" s="328">
        <v>0</v>
      </c>
      <c r="CZ79" s="322" t="s">
        <v>934</v>
      </c>
      <c r="DA79" s="323">
        <v>0</v>
      </c>
      <c r="DB79" s="323">
        <v>0</v>
      </c>
      <c r="DC79" s="323">
        <v>0</v>
      </c>
      <c r="DD79" s="323">
        <v>0</v>
      </c>
      <c r="DE79" s="323">
        <v>0</v>
      </c>
      <c r="DF79" s="323">
        <v>0</v>
      </c>
      <c r="DG79" s="323">
        <v>0</v>
      </c>
      <c r="DH79" s="323">
        <v>0</v>
      </c>
      <c r="DI79" s="323">
        <v>0</v>
      </c>
      <c r="DJ79" s="337">
        <v>0</v>
      </c>
      <c r="DK79" s="644">
        <v>16310.6</v>
      </c>
      <c r="DL79" s="614">
        <v>13713</v>
      </c>
      <c r="DM79" s="614">
        <v>5180</v>
      </c>
      <c r="DN79" s="614">
        <v>2331</v>
      </c>
      <c r="DO79" s="614">
        <v>2055</v>
      </c>
      <c r="DP79" s="614">
        <v>846</v>
      </c>
      <c r="DQ79" s="614">
        <v>235</v>
      </c>
      <c r="DR79" s="614">
        <v>134</v>
      </c>
      <c r="DS79" s="615">
        <v>17</v>
      </c>
      <c r="DT79" s="607">
        <f t="shared" si="1"/>
        <v>24511</v>
      </c>
      <c r="DU79" s="342"/>
      <c r="EC79" s="646"/>
      <c r="EF79" s="127"/>
      <c r="EG79" s="124"/>
    </row>
    <row r="80" spans="1:137" ht="15">
      <c r="A80" s="22">
        <v>72</v>
      </c>
      <c r="B80" s="23" t="s">
        <v>275</v>
      </c>
      <c r="C80" s="24" t="s">
        <v>276</v>
      </c>
      <c r="D80" s="613"/>
      <c r="E80" s="626">
        <v>3128</v>
      </c>
      <c r="F80" s="626">
        <v>4577</v>
      </c>
      <c r="G80" s="626">
        <v>9867</v>
      </c>
      <c r="H80" s="626">
        <v>6274</v>
      </c>
      <c r="I80" s="626">
        <v>5545</v>
      </c>
      <c r="J80" s="626">
        <v>4136</v>
      </c>
      <c r="K80" s="626">
        <v>4055</v>
      </c>
      <c r="L80" s="626">
        <v>616</v>
      </c>
      <c r="M80" s="631">
        <v>38198</v>
      </c>
      <c r="N80" s="322"/>
      <c r="O80" s="323">
        <v>124</v>
      </c>
      <c r="P80" s="323">
        <v>267</v>
      </c>
      <c r="Q80" s="323">
        <v>312</v>
      </c>
      <c r="R80" s="323">
        <v>182</v>
      </c>
      <c r="S80" s="323">
        <v>176</v>
      </c>
      <c r="T80" s="323">
        <v>97</v>
      </c>
      <c r="U80" s="323">
        <v>103</v>
      </c>
      <c r="V80" s="323">
        <v>24</v>
      </c>
      <c r="W80" s="323">
        <v>1285</v>
      </c>
      <c r="X80" s="329" t="s">
        <v>934</v>
      </c>
      <c r="Y80" s="330">
        <v>2</v>
      </c>
      <c r="Z80" s="330">
        <v>2</v>
      </c>
      <c r="AA80" s="330">
        <v>2</v>
      </c>
      <c r="AB80" s="330">
        <v>3</v>
      </c>
      <c r="AC80" s="330">
        <v>3</v>
      </c>
      <c r="AD80" s="330">
        <v>1</v>
      </c>
      <c r="AE80" s="330">
        <v>2</v>
      </c>
      <c r="AF80" s="330">
        <v>0</v>
      </c>
      <c r="AG80" s="328">
        <v>15</v>
      </c>
      <c r="AH80" s="329" t="s">
        <v>934</v>
      </c>
      <c r="AI80" s="184">
        <v>5</v>
      </c>
      <c r="AJ80" s="184">
        <v>18</v>
      </c>
      <c r="AK80" s="184">
        <v>66</v>
      </c>
      <c r="AL80" s="184">
        <v>47</v>
      </c>
      <c r="AM80" s="184">
        <v>50</v>
      </c>
      <c r="AN80" s="184">
        <v>42</v>
      </c>
      <c r="AO80" s="184">
        <v>30</v>
      </c>
      <c r="AP80" s="184">
        <v>13</v>
      </c>
      <c r="AQ80" s="336">
        <v>271</v>
      </c>
      <c r="AR80" s="323">
        <v>2</v>
      </c>
      <c r="AS80" s="323">
        <v>1580</v>
      </c>
      <c r="AT80" s="323">
        <v>1862</v>
      </c>
      <c r="AU80" s="323">
        <v>3093</v>
      </c>
      <c r="AV80" s="323">
        <v>1760</v>
      </c>
      <c r="AW80" s="323">
        <v>1213</v>
      </c>
      <c r="AX80" s="323">
        <v>830</v>
      </c>
      <c r="AY80" s="323">
        <v>598</v>
      </c>
      <c r="AZ80" s="323">
        <v>64</v>
      </c>
      <c r="BA80" s="323">
        <v>11002</v>
      </c>
      <c r="BB80" s="331">
        <v>0</v>
      </c>
      <c r="BC80" s="330">
        <v>9</v>
      </c>
      <c r="BD80" s="330">
        <v>20</v>
      </c>
      <c r="BE80" s="330">
        <v>57</v>
      </c>
      <c r="BF80" s="330">
        <v>27</v>
      </c>
      <c r="BG80" s="330">
        <v>27</v>
      </c>
      <c r="BH80" s="330">
        <v>15</v>
      </c>
      <c r="BI80" s="330">
        <v>9</v>
      </c>
      <c r="BJ80" s="330">
        <v>2</v>
      </c>
      <c r="BK80" s="328">
        <v>166</v>
      </c>
      <c r="BL80" s="323">
        <v>0</v>
      </c>
      <c r="BM80" s="323">
        <v>2</v>
      </c>
      <c r="BN80" s="323">
        <v>3</v>
      </c>
      <c r="BO80" s="323">
        <v>4</v>
      </c>
      <c r="BP80" s="323">
        <v>4</v>
      </c>
      <c r="BQ80" s="323">
        <v>5</v>
      </c>
      <c r="BR80" s="323">
        <v>7</v>
      </c>
      <c r="BS80" s="323">
        <v>9</v>
      </c>
      <c r="BT80" s="323">
        <v>1</v>
      </c>
      <c r="BU80" s="323">
        <v>35</v>
      </c>
      <c r="BV80" s="329" t="s">
        <v>934</v>
      </c>
      <c r="BW80" s="330">
        <v>48</v>
      </c>
      <c r="BX80" s="330">
        <v>61</v>
      </c>
      <c r="BY80" s="330">
        <v>243</v>
      </c>
      <c r="BZ80" s="330">
        <v>274</v>
      </c>
      <c r="CA80" s="330">
        <v>278</v>
      </c>
      <c r="CB80" s="330">
        <v>150</v>
      </c>
      <c r="CC80" s="330">
        <v>195</v>
      </c>
      <c r="CD80" s="330">
        <v>53</v>
      </c>
      <c r="CE80" s="328">
        <v>1302</v>
      </c>
      <c r="CF80" s="322" t="s">
        <v>934</v>
      </c>
      <c r="CG80" s="323">
        <v>0</v>
      </c>
      <c r="CH80" s="323">
        <v>0</v>
      </c>
      <c r="CI80" s="323">
        <v>0</v>
      </c>
      <c r="CJ80" s="323">
        <v>0</v>
      </c>
      <c r="CK80" s="323">
        <v>0</v>
      </c>
      <c r="CL80" s="323">
        <v>0</v>
      </c>
      <c r="CM80" s="323">
        <v>0</v>
      </c>
      <c r="CN80" s="323">
        <v>0</v>
      </c>
      <c r="CO80" s="323">
        <v>0</v>
      </c>
      <c r="CP80" s="329" t="s">
        <v>934</v>
      </c>
      <c r="CQ80" s="330">
        <v>0</v>
      </c>
      <c r="CR80" s="330">
        <v>0</v>
      </c>
      <c r="CS80" s="330">
        <v>0</v>
      </c>
      <c r="CT80" s="330">
        <v>0</v>
      </c>
      <c r="CU80" s="330">
        <v>0</v>
      </c>
      <c r="CV80" s="330">
        <v>0</v>
      </c>
      <c r="CW80" s="330">
        <v>0</v>
      </c>
      <c r="CX80" s="330">
        <v>0</v>
      </c>
      <c r="CY80" s="328">
        <v>0</v>
      </c>
      <c r="CZ80" s="322" t="s">
        <v>934</v>
      </c>
      <c r="DA80" s="323">
        <v>56</v>
      </c>
      <c r="DB80" s="323">
        <v>39</v>
      </c>
      <c r="DC80" s="323">
        <v>51</v>
      </c>
      <c r="DD80" s="323">
        <v>52</v>
      </c>
      <c r="DE80" s="323">
        <v>33</v>
      </c>
      <c r="DF80" s="323">
        <v>28</v>
      </c>
      <c r="DG80" s="323">
        <v>24</v>
      </c>
      <c r="DH80" s="323">
        <v>10</v>
      </c>
      <c r="DI80" s="323">
        <v>293</v>
      </c>
      <c r="DJ80" s="337">
        <v>128.5</v>
      </c>
      <c r="DK80" s="644">
        <v>36594.1</v>
      </c>
      <c r="DL80" s="614">
        <v>3240</v>
      </c>
      <c r="DM80" s="614">
        <v>4618</v>
      </c>
      <c r="DN80" s="614">
        <v>9944</v>
      </c>
      <c r="DO80" s="614">
        <v>6337</v>
      </c>
      <c r="DP80" s="614">
        <v>5573</v>
      </c>
      <c r="DQ80" s="614">
        <v>4153</v>
      </c>
      <c r="DR80" s="614">
        <v>4061</v>
      </c>
      <c r="DS80" s="615">
        <v>621</v>
      </c>
      <c r="DT80" s="607">
        <f t="shared" si="1"/>
        <v>38547</v>
      </c>
      <c r="DU80" s="342"/>
      <c r="EC80" s="646"/>
      <c r="EF80" s="123"/>
      <c r="EG80" s="124"/>
    </row>
    <row r="81" spans="1:137" ht="15">
      <c r="A81" s="22">
        <v>73</v>
      </c>
      <c r="B81" s="23" t="s">
        <v>277</v>
      </c>
      <c r="C81" s="24" t="s">
        <v>278</v>
      </c>
      <c r="D81" s="613"/>
      <c r="E81" s="634">
        <v>53649</v>
      </c>
      <c r="F81" s="634">
        <v>38582</v>
      </c>
      <c r="G81" s="634">
        <v>21115</v>
      </c>
      <c r="H81" s="634">
        <v>8263</v>
      </c>
      <c r="I81" s="634">
        <v>4116</v>
      </c>
      <c r="J81" s="634">
        <v>2121</v>
      </c>
      <c r="K81" s="634">
        <v>1277</v>
      </c>
      <c r="L81" s="634">
        <v>159</v>
      </c>
      <c r="M81" s="635">
        <v>129282</v>
      </c>
      <c r="N81" s="322"/>
      <c r="O81" s="323">
        <v>3152</v>
      </c>
      <c r="P81" s="323">
        <v>1624</v>
      </c>
      <c r="Q81" s="323">
        <v>609</v>
      </c>
      <c r="R81" s="323">
        <v>209</v>
      </c>
      <c r="S81" s="323">
        <v>84</v>
      </c>
      <c r="T81" s="323">
        <v>47</v>
      </c>
      <c r="U81" s="323">
        <v>41</v>
      </c>
      <c r="V81" s="323">
        <v>53</v>
      </c>
      <c r="W81" s="323">
        <v>5819</v>
      </c>
      <c r="X81" s="329" t="s">
        <v>934</v>
      </c>
      <c r="Y81" s="330">
        <v>7</v>
      </c>
      <c r="Z81" s="330">
        <v>2</v>
      </c>
      <c r="AA81" s="330">
        <v>0</v>
      </c>
      <c r="AB81" s="330">
        <v>2</v>
      </c>
      <c r="AC81" s="330">
        <v>0</v>
      </c>
      <c r="AD81" s="330">
        <v>0</v>
      </c>
      <c r="AE81" s="330">
        <v>0</v>
      </c>
      <c r="AF81" s="330">
        <v>0</v>
      </c>
      <c r="AG81" s="328">
        <v>11</v>
      </c>
      <c r="AH81" s="329" t="s">
        <v>934</v>
      </c>
      <c r="AI81" s="184">
        <v>92</v>
      </c>
      <c r="AJ81" s="184">
        <v>238</v>
      </c>
      <c r="AK81" s="184">
        <v>162</v>
      </c>
      <c r="AL81" s="184">
        <v>66</v>
      </c>
      <c r="AM81" s="184">
        <v>47</v>
      </c>
      <c r="AN81" s="184">
        <v>41</v>
      </c>
      <c r="AO81" s="184">
        <v>34</v>
      </c>
      <c r="AP81" s="184">
        <v>17</v>
      </c>
      <c r="AQ81" s="336">
        <v>697</v>
      </c>
      <c r="AR81" s="323">
        <v>22</v>
      </c>
      <c r="AS81" s="323">
        <v>24845</v>
      </c>
      <c r="AT81" s="323">
        <v>12464</v>
      </c>
      <c r="AU81" s="323">
        <v>5496</v>
      </c>
      <c r="AV81" s="323">
        <v>1881</v>
      </c>
      <c r="AW81" s="323">
        <v>668</v>
      </c>
      <c r="AX81" s="323">
        <v>287</v>
      </c>
      <c r="AY81" s="323">
        <v>152</v>
      </c>
      <c r="AZ81" s="323">
        <v>11</v>
      </c>
      <c r="BA81" s="323">
        <v>45826</v>
      </c>
      <c r="BB81" s="331">
        <v>3</v>
      </c>
      <c r="BC81" s="330">
        <v>634</v>
      </c>
      <c r="BD81" s="330">
        <v>543</v>
      </c>
      <c r="BE81" s="330">
        <v>270</v>
      </c>
      <c r="BF81" s="330">
        <v>82</v>
      </c>
      <c r="BG81" s="330">
        <v>43</v>
      </c>
      <c r="BH81" s="330">
        <v>22</v>
      </c>
      <c r="BI81" s="330">
        <v>9</v>
      </c>
      <c r="BJ81" s="330">
        <v>0</v>
      </c>
      <c r="BK81" s="328">
        <v>1606</v>
      </c>
      <c r="BL81" s="323">
        <v>5</v>
      </c>
      <c r="BM81" s="323">
        <v>57</v>
      </c>
      <c r="BN81" s="323">
        <v>40</v>
      </c>
      <c r="BO81" s="323">
        <v>26</v>
      </c>
      <c r="BP81" s="323">
        <v>31</v>
      </c>
      <c r="BQ81" s="323">
        <v>20</v>
      </c>
      <c r="BR81" s="323">
        <v>24</v>
      </c>
      <c r="BS81" s="323">
        <v>23</v>
      </c>
      <c r="BT81" s="323">
        <v>7</v>
      </c>
      <c r="BU81" s="323">
        <v>233</v>
      </c>
      <c r="BV81" s="329" t="s">
        <v>934</v>
      </c>
      <c r="BW81" s="330">
        <v>607</v>
      </c>
      <c r="BX81" s="330">
        <v>343</v>
      </c>
      <c r="BY81" s="330">
        <v>107</v>
      </c>
      <c r="BZ81" s="330">
        <v>38</v>
      </c>
      <c r="CA81" s="330">
        <v>16</v>
      </c>
      <c r="CB81" s="330">
        <v>5</v>
      </c>
      <c r="CC81" s="330">
        <v>5</v>
      </c>
      <c r="CD81" s="330">
        <v>0</v>
      </c>
      <c r="CE81" s="328">
        <v>1121</v>
      </c>
      <c r="CF81" s="322" t="s">
        <v>934</v>
      </c>
      <c r="CG81" s="323">
        <v>390</v>
      </c>
      <c r="CH81" s="323">
        <v>180</v>
      </c>
      <c r="CI81" s="323">
        <v>106</v>
      </c>
      <c r="CJ81" s="323">
        <v>26</v>
      </c>
      <c r="CK81" s="323">
        <v>16</v>
      </c>
      <c r="CL81" s="323">
        <v>4</v>
      </c>
      <c r="CM81" s="323">
        <v>4</v>
      </c>
      <c r="CN81" s="323">
        <v>0</v>
      </c>
      <c r="CO81" s="323">
        <v>726</v>
      </c>
      <c r="CP81" s="329" t="s">
        <v>934</v>
      </c>
      <c r="CQ81" s="330">
        <v>724</v>
      </c>
      <c r="CR81" s="330">
        <v>293</v>
      </c>
      <c r="CS81" s="330">
        <v>201</v>
      </c>
      <c r="CT81" s="330">
        <v>59</v>
      </c>
      <c r="CU81" s="330">
        <v>33</v>
      </c>
      <c r="CV81" s="330">
        <v>9</v>
      </c>
      <c r="CW81" s="330">
        <v>8</v>
      </c>
      <c r="CX81" s="330">
        <v>0</v>
      </c>
      <c r="CY81" s="328">
        <v>1327</v>
      </c>
      <c r="CZ81" s="322" t="s">
        <v>934</v>
      </c>
      <c r="DA81" s="323">
        <v>0</v>
      </c>
      <c r="DB81" s="323">
        <v>0</v>
      </c>
      <c r="DC81" s="323">
        <v>0</v>
      </c>
      <c r="DD81" s="323">
        <v>0</v>
      </c>
      <c r="DE81" s="323">
        <v>0</v>
      </c>
      <c r="DF81" s="323">
        <v>0</v>
      </c>
      <c r="DG81" s="323">
        <v>0</v>
      </c>
      <c r="DH81" s="323">
        <v>0</v>
      </c>
      <c r="DI81" s="323">
        <v>0</v>
      </c>
      <c r="DJ81" s="337">
        <v>0</v>
      </c>
      <c r="DK81" s="644">
        <v>89017</v>
      </c>
      <c r="DL81" s="618">
        <v>53918</v>
      </c>
      <c r="DM81" s="618">
        <v>38835</v>
      </c>
      <c r="DN81" s="618">
        <v>21276</v>
      </c>
      <c r="DO81" s="618">
        <v>8323</v>
      </c>
      <c r="DP81" s="618">
        <v>4182</v>
      </c>
      <c r="DQ81" s="618">
        <v>2134</v>
      </c>
      <c r="DR81" s="618">
        <v>1331</v>
      </c>
      <c r="DS81" s="619">
        <v>160</v>
      </c>
      <c r="DT81" s="609">
        <f t="shared" si="1"/>
        <v>130159</v>
      </c>
      <c r="DU81" s="342"/>
      <c r="EC81" s="646"/>
      <c r="EF81" s="129"/>
      <c r="EG81" s="124"/>
    </row>
    <row r="82" spans="1:137" ht="15">
      <c r="A82" s="22">
        <v>74</v>
      </c>
      <c r="B82" s="23" t="s">
        <v>279</v>
      </c>
      <c r="C82" s="24" t="s">
        <v>280</v>
      </c>
      <c r="D82" s="613"/>
      <c r="E82" s="626">
        <v>3989</v>
      </c>
      <c r="F82" s="626">
        <v>5578</v>
      </c>
      <c r="G82" s="626">
        <v>5709</v>
      </c>
      <c r="H82" s="626">
        <v>3846</v>
      </c>
      <c r="I82" s="626">
        <v>2979</v>
      </c>
      <c r="J82" s="626">
        <v>1885</v>
      </c>
      <c r="K82" s="626">
        <v>1258</v>
      </c>
      <c r="L82" s="626">
        <v>112</v>
      </c>
      <c r="M82" s="627">
        <v>25356</v>
      </c>
      <c r="N82" s="322"/>
      <c r="O82" s="323">
        <v>206</v>
      </c>
      <c r="P82" s="323">
        <v>176</v>
      </c>
      <c r="Q82" s="323">
        <v>165</v>
      </c>
      <c r="R82" s="323">
        <v>94</v>
      </c>
      <c r="S82" s="323">
        <v>50</v>
      </c>
      <c r="T82" s="323">
        <v>40</v>
      </c>
      <c r="U82" s="323">
        <v>21</v>
      </c>
      <c r="V82" s="323">
        <v>6</v>
      </c>
      <c r="W82" s="323">
        <v>758</v>
      </c>
      <c r="X82" s="329" t="s">
        <v>934</v>
      </c>
      <c r="Y82" s="330">
        <v>0</v>
      </c>
      <c r="Z82" s="330">
        <v>0</v>
      </c>
      <c r="AA82" s="330">
        <v>0</v>
      </c>
      <c r="AB82" s="330">
        <v>0</v>
      </c>
      <c r="AC82" s="330">
        <v>0</v>
      </c>
      <c r="AD82" s="330">
        <v>0</v>
      </c>
      <c r="AE82" s="330">
        <v>0</v>
      </c>
      <c r="AF82" s="330">
        <v>0</v>
      </c>
      <c r="AG82" s="328">
        <v>0</v>
      </c>
      <c r="AH82" s="329" t="s">
        <v>934</v>
      </c>
      <c r="AI82" s="184">
        <v>9</v>
      </c>
      <c r="AJ82" s="184">
        <v>21</v>
      </c>
      <c r="AK82" s="184">
        <v>25</v>
      </c>
      <c r="AL82" s="184">
        <v>22</v>
      </c>
      <c r="AM82" s="184">
        <v>27</v>
      </c>
      <c r="AN82" s="184">
        <v>16</v>
      </c>
      <c r="AO82" s="184">
        <v>14</v>
      </c>
      <c r="AP82" s="184">
        <v>17</v>
      </c>
      <c r="AQ82" s="336">
        <v>151</v>
      </c>
      <c r="AR82" s="323">
        <v>1</v>
      </c>
      <c r="AS82" s="323">
        <v>2166</v>
      </c>
      <c r="AT82" s="323">
        <v>2160</v>
      </c>
      <c r="AU82" s="323">
        <v>1767</v>
      </c>
      <c r="AV82" s="323">
        <v>979</v>
      </c>
      <c r="AW82" s="323">
        <v>571</v>
      </c>
      <c r="AX82" s="323">
        <v>293</v>
      </c>
      <c r="AY82" s="323">
        <v>151</v>
      </c>
      <c r="AZ82" s="323">
        <v>7</v>
      </c>
      <c r="BA82" s="323">
        <v>8095</v>
      </c>
      <c r="BB82" s="331">
        <v>0</v>
      </c>
      <c r="BC82" s="330">
        <v>23</v>
      </c>
      <c r="BD82" s="330">
        <v>44</v>
      </c>
      <c r="BE82" s="330">
        <v>39</v>
      </c>
      <c r="BF82" s="330">
        <v>32</v>
      </c>
      <c r="BG82" s="330">
        <v>18</v>
      </c>
      <c r="BH82" s="330">
        <v>15</v>
      </c>
      <c r="BI82" s="330">
        <v>7</v>
      </c>
      <c r="BJ82" s="330">
        <v>0</v>
      </c>
      <c r="BK82" s="328">
        <v>178</v>
      </c>
      <c r="BL82" s="323">
        <v>0</v>
      </c>
      <c r="BM82" s="323">
        <v>1</v>
      </c>
      <c r="BN82" s="323">
        <v>1</v>
      </c>
      <c r="BO82" s="323">
        <v>0</v>
      </c>
      <c r="BP82" s="323">
        <v>2</v>
      </c>
      <c r="BQ82" s="323">
        <v>0</v>
      </c>
      <c r="BR82" s="323">
        <v>0</v>
      </c>
      <c r="BS82" s="323">
        <v>0</v>
      </c>
      <c r="BT82" s="323">
        <v>0</v>
      </c>
      <c r="BU82" s="323">
        <v>4</v>
      </c>
      <c r="BV82" s="329" t="s">
        <v>934</v>
      </c>
      <c r="BW82" s="330">
        <v>68</v>
      </c>
      <c r="BX82" s="330">
        <v>149</v>
      </c>
      <c r="BY82" s="330">
        <v>179</v>
      </c>
      <c r="BZ82" s="330">
        <v>127</v>
      </c>
      <c r="CA82" s="330">
        <v>103</v>
      </c>
      <c r="CB82" s="330">
        <v>50</v>
      </c>
      <c r="CC82" s="330">
        <v>25</v>
      </c>
      <c r="CD82" s="330">
        <v>4</v>
      </c>
      <c r="CE82" s="328">
        <v>705</v>
      </c>
      <c r="CF82" s="322" t="s">
        <v>934</v>
      </c>
      <c r="CG82" s="323">
        <v>0</v>
      </c>
      <c r="CH82" s="323">
        <v>1</v>
      </c>
      <c r="CI82" s="323">
        <v>2</v>
      </c>
      <c r="CJ82" s="323">
        <v>1</v>
      </c>
      <c r="CK82" s="323">
        <v>1</v>
      </c>
      <c r="CL82" s="323">
        <v>3</v>
      </c>
      <c r="CM82" s="323">
        <v>15</v>
      </c>
      <c r="CN82" s="323">
        <v>3</v>
      </c>
      <c r="CO82" s="323">
        <v>26</v>
      </c>
      <c r="CP82" s="329" t="s">
        <v>934</v>
      </c>
      <c r="CQ82" s="330">
        <v>56</v>
      </c>
      <c r="CR82" s="330">
        <v>62</v>
      </c>
      <c r="CS82" s="330">
        <v>48</v>
      </c>
      <c r="CT82" s="330">
        <v>14</v>
      </c>
      <c r="CU82" s="330">
        <v>20</v>
      </c>
      <c r="CV82" s="330">
        <v>9</v>
      </c>
      <c r="CW82" s="330">
        <v>7</v>
      </c>
      <c r="CX82" s="330">
        <v>2</v>
      </c>
      <c r="CY82" s="328">
        <v>218</v>
      </c>
      <c r="CZ82" s="322" t="s">
        <v>934</v>
      </c>
      <c r="DA82" s="323">
        <v>0</v>
      </c>
      <c r="DB82" s="323">
        <v>0</v>
      </c>
      <c r="DC82" s="323">
        <v>0</v>
      </c>
      <c r="DD82" s="323">
        <v>0</v>
      </c>
      <c r="DE82" s="323">
        <v>0</v>
      </c>
      <c r="DF82" s="323">
        <v>0</v>
      </c>
      <c r="DG82" s="323">
        <v>0</v>
      </c>
      <c r="DH82" s="323">
        <v>0</v>
      </c>
      <c r="DI82" s="323">
        <v>0</v>
      </c>
      <c r="DJ82" s="337">
        <v>0</v>
      </c>
      <c r="DK82" s="644">
        <v>21717.9</v>
      </c>
      <c r="DL82" s="614">
        <v>4049</v>
      </c>
      <c r="DM82" s="614">
        <v>5653</v>
      </c>
      <c r="DN82" s="614">
        <v>5717</v>
      </c>
      <c r="DO82" s="614">
        <v>3893</v>
      </c>
      <c r="DP82" s="614">
        <v>3028</v>
      </c>
      <c r="DQ82" s="614">
        <v>1917</v>
      </c>
      <c r="DR82" s="614">
        <v>1270</v>
      </c>
      <c r="DS82" s="615">
        <v>111</v>
      </c>
      <c r="DT82" s="607">
        <f t="shared" si="1"/>
        <v>25638</v>
      </c>
      <c r="DU82" s="342"/>
      <c r="EC82" s="646"/>
      <c r="EF82" s="123"/>
      <c r="EG82" s="124"/>
    </row>
    <row r="83" spans="1:137" ht="15">
      <c r="A83" s="22">
        <v>75</v>
      </c>
      <c r="B83" s="23" t="s">
        <v>281</v>
      </c>
      <c r="C83" s="24" t="s">
        <v>282</v>
      </c>
      <c r="D83" s="613"/>
      <c r="E83" s="626">
        <v>807</v>
      </c>
      <c r="F83" s="626">
        <v>5690</v>
      </c>
      <c r="G83" s="626">
        <v>19587</v>
      </c>
      <c r="H83" s="626">
        <v>8104</v>
      </c>
      <c r="I83" s="626">
        <v>3708</v>
      </c>
      <c r="J83" s="626">
        <v>2105</v>
      </c>
      <c r="K83" s="626">
        <v>459</v>
      </c>
      <c r="L83" s="626">
        <v>13</v>
      </c>
      <c r="M83" s="627">
        <v>40473</v>
      </c>
      <c r="N83" s="322"/>
      <c r="O83" s="323">
        <v>46</v>
      </c>
      <c r="P83" s="323">
        <v>152</v>
      </c>
      <c r="Q83" s="323">
        <v>253</v>
      </c>
      <c r="R83" s="323">
        <v>105</v>
      </c>
      <c r="S83" s="323">
        <v>30</v>
      </c>
      <c r="T83" s="323">
        <v>22</v>
      </c>
      <c r="U83" s="323">
        <v>7</v>
      </c>
      <c r="V83" s="323">
        <v>0</v>
      </c>
      <c r="W83" s="323">
        <v>615</v>
      </c>
      <c r="X83" s="329" t="s">
        <v>934</v>
      </c>
      <c r="Y83" s="330">
        <v>0</v>
      </c>
      <c r="Z83" s="330">
        <v>0</v>
      </c>
      <c r="AA83" s="330">
        <v>0</v>
      </c>
      <c r="AB83" s="330">
        <v>0</v>
      </c>
      <c r="AC83" s="330">
        <v>0</v>
      </c>
      <c r="AD83" s="330">
        <v>0</v>
      </c>
      <c r="AE83" s="330">
        <v>0</v>
      </c>
      <c r="AF83" s="330">
        <v>0</v>
      </c>
      <c r="AG83" s="328">
        <v>0</v>
      </c>
      <c r="AH83" s="329" t="s">
        <v>934</v>
      </c>
      <c r="AI83" s="184">
        <v>0</v>
      </c>
      <c r="AJ83" s="184">
        <v>3</v>
      </c>
      <c r="AK83" s="184">
        <v>55</v>
      </c>
      <c r="AL83" s="184">
        <v>28</v>
      </c>
      <c r="AM83" s="184">
        <v>19</v>
      </c>
      <c r="AN83" s="184">
        <v>14</v>
      </c>
      <c r="AO83" s="184">
        <v>3</v>
      </c>
      <c r="AP83" s="184">
        <v>7</v>
      </c>
      <c r="AQ83" s="336">
        <v>129</v>
      </c>
      <c r="AR83" s="323">
        <v>0</v>
      </c>
      <c r="AS83" s="323">
        <v>497</v>
      </c>
      <c r="AT83" s="323">
        <v>3672</v>
      </c>
      <c r="AU83" s="323">
        <v>6732</v>
      </c>
      <c r="AV83" s="323">
        <v>2091</v>
      </c>
      <c r="AW83" s="323">
        <v>650</v>
      </c>
      <c r="AX83" s="323">
        <v>295</v>
      </c>
      <c r="AY83" s="323">
        <v>66</v>
      </c>
      <c r="AZ83" s="323">
        <v>1</v>
      </c>
      <c r="BA83" s="323">
        <v>14004</v>
      </c>
      <c r="BB83" s="331">
        <v>0</v>
      </c>
      <c r="BC83" s="330">
        <v>3</v>
      </c>
      <c r="BD83" s="330">
        <v>24</v>
      </c>
      <c r="BE83" s="330">
        <v>79</v>
      </c>
      <c r="BF83" s="330">
        <v>37</v>
      </c>
      <c r="BG83" s="330">
        <v>9</v>
      </c>
      <c r="BH83" s="330">
        <v>9</v>
      </c>
      <c r="BI83" s="330">
        <v>1</v>
      </c>
      <c r="BJ83" s="330">
        <v>0</v>
      </c>
      <c r="BK83" s="328">
        <v>162</v>
      </c>
      <c r="BL83" s="323">
        <v>0</v>
      </c>
      <c r="BM83" s="323">
        <v>1</v>
      </c>
      <c r="BN83" s="323">
        <v>1</v>
      </c>
      <c r="BO83" s="323">
        <v>6</v>
      </c>
      <c r="BP83" s="323">
        <v>5</v>
      </c>
      <c r="BQ83" s="323">
        <v>8</v>
      </c>
      <c r="BR83" s="323">
        <v>7</v>
      </c>
      <c r="BS83" s="323">
        <v>14</v>
      </c>
      <c r="BT83" s="323">
        <v>3</v>
      </c>
      <c r="BU83" s="323">
        <v>45</v>
      </c>
      <c r="BV83" s="329" t="s">
        <v>934</v>
      </c>
      <c r="BW83" s="330">
        <v>13</v>
      </c>
      <c r="BX83" s="330">
        <v>51</v>
      </c>
      <c r="BY83" s="330">
        <v>193</v>
      </c>
      <c r="BZ83" s="330">
        <v>62</v>
      </c>
      <c r="CA83" s="330">
        <v>19</v>
      </c>
      <c r="CB83" s="330">
        <v>11</v>
      </c>
      <c r="CC83" s="330">
        <v>4</v>
      </c>
      <c r="CD83" s="330">
        <v>0</v>
      </c>
      <c r="CE83" s="328">
        <v>353</v>
      </c>
      <c r="CF83" s="322" t="s">
        <v>934</v>
      </c>
      <c r="CG83" s="323">
        <v>0</v>
      </c>
      <c r="CH83" s="323">
        <v>1</v>
      </c>
      <c r="CI83" s="323">
        <v>0</v>
      </c>
      <c r="CJ83" s="323">
        <v>1</v>
      </c>
      <c r="CK83" s="323">
        <v>0</v>
      </c>
      <c r="CL83" s="323">
        <v>0</v>
      </c>
      <c r="CM83" s="323">
        <v>0</v>
      </c>
      <c r="CN83" s="323">
        <v>0</v>
      </c>
      <c r="CO83" s="323">
        <v>2</v>
      </c>
      <c r="CP83" s="329" t="s">
        <v>934</v>
      </c>
      <c r="CQ83" s="330">
        <v>14</v>
      </c>
      <c r="CR83" s="330">
        <v>31</v>
      </c>
      <c r="CS83" s="330">
        <v>59</v>
      </c>
      <c r="CT83" s="330">
        <v>21</v>
      </c>
      <c r="CU83" s="330">
        <v>7</v>
      </c>
      <c r="CV83" s="330">
        <v>9</v>
      </c>
      <c r="CW83" s="330">
        <v>1</v>
      </c>
      <c r="CX83" s="330">
        <v>0</v>
      </c>
      <c r="CY83" s="328">
        <v>142</v>
      </c>
      <c r="CZ83" s="322" t="s">
        <v>934</v>
      </c>
      <c r="DA83" s="323">
        <v>0</v>
      </c>
      <c r="DB83" s="323">
        <v>0</v>
      </c>
      <c r="DC83" s="323">
        <v>0</v>
      </c>
      <c r="DD83" s="323">
        <v>0</v>
      </c>
      <c r="DE83" s="323">
        <v>0</v>
      </c>
      <c r="DF83" s="323">
        <v>0</v>
      </c>
      <c r="DG83" s="323">
        <v>0</v>
      </c>
      <c r="DH83" s="323">
        <v>0</v>
      </c>
      <c r="DI83" s="323">
        <v>0</v>
      </c>
      <c r="DJ83" s="337">
        <v>0</v>
      </c>
      <c r="DK83" s="644">
        <v>34880.7</v>
      </c>
      <c r="DL83" s="614">
        <v>805</v>
      </c>
      <c r="DM83" s="614">
        <v>5906</v>
      </c>
      <c r="DN83" s="614">
        <v>19719</v>
      </c>
      <c r="DO83" s="614">
        <v>8130</v>
      </c>
      <c r="DP83" s="614">
        <v>3710</v>
      </c>
      <c r="DQ83" s="614">
        <v>2133</v>
      </c>
      <c r="DR83" s="614">
        <v>452</v>
      </c>
      <c r="DS83" s="615">
        <v>10</v>
      </c>
      <c r="DT83" s="607">
        <f t="shared" si="1"/>
        <v>40865</v>
      </c>
      <c r="DU83" s="342"/>
      <c r="EC83" s="646"/>
      <c r="EF83" s="126"/>
      <c r="EG83" s="124"/>
    </row>
    <row r="84" spans="1:137" ht="15">
      <c r="A84" s="22">
        <v>76</v>
      </c>
      <c r="B84" s="23" t="s">
        <v>857</v>
      </c>
      <c r="C84" s="24" t="s">
        <v>283</v>
      </c>
      <c r="D84" s="613"/>
      <c r="E84" s="636">
        <v>15478</v>
      </c>
      <c r="F84" s="636">
        <v>11647</v>
      </c>
      <c r="G84" s="636">
        <v>8975</v>
      </c>
      <c r="H84" s="636">
        <v>6522</v>
      </c>
      <c r="I84" s="636">
        <v>3681</v>
      </c>
      <c r="J84" s="636">
        <v>2290</v>
      </c>
      <c r="K84" s="636">
        <v>2169</v>
      </c>
      <c r="L84" s="636">
        <v>135</v>
      </c>
      <c r="M84" s="627">
        <v>50897</v>
      </c>
      <c r="N84" s="322"/>
      <c r="O84" s="323">
        <v>842</v>
      </c>
      <c r="P84" s="323">
        <v>329</v>
      </c>
      <c r="Q84" s="323">
        <v>195</v>
      </c>
      <c r="R84" s="323">
        <v>141</v>
      </c>
      <c r="S84" s="323">
        <v>58</v>
      </c>
      <c r="T84" s="323">
        <v>41</v>
      </c>
      <c r="U84" s="323">
        <v>54</v>
      </c>
      <c r="V84" s="323">
        <v>15</v>
      </c>
      <c r="W84" s="323">
        <v>1675</v>
      </c>
      <c r="X84" s="329" t="s">
        <v>934</v>
      </c>
      <c r="Y84" s="330">
        <v>1</v>
      </c>
      <c r="Z84" s="330">
        <v>0</v>
      </c>
      <c r="AA84" s="330">
        <v>0</v>
      </c>
      <c r="AB84" s="330">
        <v>0</v>
      </c>
      <c r="AC84" s="330">
        <v>0</v>
      </c>
      <c r="AD84" s="330">
        <v>0</v>
      </c>
      <c r="AE84" s="330">
        <v>1</v>
      </c>
      <c r="AF84" s="330">
        <v>0</v>
      </c>
      <c r="AG84" s="328">
        <v>2</v>
      </c>
      <c r="AH84" s="329" t="s">
        <v>934</v>
      </c>
      <c r="AI84" s="184">
        <v>76</v>
      </c>
      <c r="AJ84" s="184">
        <v>86</v>
      </c>
      <c r="AK84" s="184">
        <v>89</v>
      </c>
      <c r="AL84" s="184">
        <v>80</v>
      </c>
      <c r="AM84" s="184">
        <v>52</v>
      </c>
      <c r="AN84" s="184">
        <v>36</v>
      </c>
      <c r="AO84" s="184">
        <v>23</v>
      </c>
      <c r="AP84" s="184">
        <v>12</v>
      </c>
      <c r="AQ84" s="336">
        <v>454</v>
      </c>
      <c r="AR84" s="323">
        <v>26</v>
      </c>
      <c r="AS84" s="323">
        <v>7058</v>
      </c>
      <c r="AT84" s="323">
        <v>4163</v>
      </c>
      <c r="AU84" s="323">
        <v>2476</v>
      </c>
      <c r="AV84" s="323">
        <v>1429</v>
      </c>
      <c r="AW84" s="323">
        <v>596</v>
      </c>
      <c r="AX84" s="323">
        <v>287</v>
      </c>
      <c r="AY84" s="323">
        <v>224</v>
      </c>
      <c r="AZ84" s="323">
        <v>10</v>
      </c>
      <c r="BA84" s="323">
        <v>16269</v>
      </c>
      <c r="BB84" s="331">
        <v>3</v>
      </c>
      <c r="BC84" s="330">
        <v>126</v>
      </c>
      <c r="BD84" s="330">
        <v>113</v>
      </c>
      <c r="BE84" s="330">
        <v>86</v>
      </c>
      <c r="BF84" s="330">
        <v>55</v>
      </c>
      <c r="BG84" s="330">
        <v>24</v>
      </c>
      <c r="BH84" s="330">
        <v>23</v>
      </c>
      <c r="BI84" s="330">
        <v>11</v>
      </c>
      <c r="BJ84" s="330">
        <v>0</v>
      </c>
      <c r="BK84" s="328">
        <v>441</v>
      </c>
      <c r="BL84" s="323">
        <v>1</v>
      </c>
      <c r="BM84" s="323">
        <v>11</v>
      </c>
      <c r="BN84" s="323">
        <v>8</v>
      </c>
      <c r="BO84" s="323">
        <v>12</v>
      </c>
      <c r="BP84" s="323">
        <v>11</v>
      </c>
      <c r="BQ84" s="323">
        <v>6</v>
      </c>
      <c r="BR84" s="323">
        <v>11</v>
      </c>
      <c r="BS84" s="323">
        <v>13</v>
      </c>
      <c r="BT84" s="323">
        <v>0</v>
      </c>
      <c r="BU84" s="323">
        <v>73</v>
      </c>
      <c r="BV84" s="329" t="s">
        <v>934</v>
      </c>
      <c r="BW84" s="330">
        <v>162</v>
      </c>
      <c r="BX84" s="330">
        <v>104</v>
      </c>
      <c r="BY84" s="330">
        <v>61</v>
      </c>
      <c r="BZ84" s="330">
        <v>52</v>
      </c>
      <c r="CA84" s="330">
        <v>34</v>
      </c>
      <c r="CB84" s="330">
        <v>22</v>
      </c>
      <c r="CC84" s="330">
        <v>24</v>
      </c>
      <c r="CD84" s="330">
        <v>5</v>
      </c>
      <c r="CE84" s="328">
        <v>464</v>
      </c>
      <c r="CF84" s="322" t="s">
        <v>934</v>
      </c>
      <c r="CG84" s="323">
        <v>306</v>
      </c>
      <c r="CH84" s="323">
        <v>160</v>
      </c>
      <c r="CI84" s="323">
        <v>77</v>
      </c>
      <c r="CJ84" s="323">
        <v>66</v>
      </c>
      <c r="CK84" s="323">
        <v>36</v>
      </c>
      <c r="CL84" s="323">
        <v>21</v>
      </c>
      <c r="CM84" s="323">
        <v>25</v>
      </c>
      <c r="CN84" s="323">
        <v>2</v>
      </c>
      <c r="CO84" s="323">
        <v>693</v>
      </c>
      <c r="CP84" s="329" t="s">
        <v>934</v>
      </c>
      <c r="CQ84" s="330">
        <v>0</v>
      </c>
      <c r="CR84" s="330">
        <v>0</v>
      </c>
      <c r="CS84" s="330">
        <v>0</v>
      </c>
      <c r="CT84" s="330">
        <v>0</v>
      </c>
      <c r="CU84" s="330">
        <v>0</v>
      </c>
      <c r="CV84" s="330">
        <v>0</v>
      </c>
      <c r="CW84" s="330">
        <v>0</v>
      </c>
      <c r="CX84" s="330">
        <v>0</v>
      </c>
      <c r="CY84" s="328">
        <v>0</v>
      </c>
      <c r="CZ84" s="322" t="s">
        <v>934</v>
      </c>
      <c r="DA84" s="323">
        <v>0</v>
      </c>
      <c r="DB84" s="323">
        <v>0</v>
      </c>
      <c r="DC84" s="323">
        <v>0</v>
      </c>
      <c r="DD84" s="323">
        <v>0</v>
      </c>
      <c r="DE84" s="323">
        <v>0</v>
      </c>
      <c r="DF84" s="323">
        <v>0</v>
      </c>
      <c r="DG84" s="323">
        <v>0</v>
      </c>
      <c r="DH84" s="323">
        <v>0</v>
      </c>
      <c r="DI84" s="323">
        <v>0</v>
      </c>
      <c r="DJ84" s="337">
        <v>0</v>
      </c>
      <c r="DK84" s="644">
        <v>40201</v>
      </c>
      <c r="DL84" s="616">
        <v>15574</v>
      </c>
      <c r="DM84" s="616">
        <v>12017</v>
      </c>
      <c r="DN84" s="616">
        <v>9056</v>
      </c>
      <c r="DO84" s="616">
        <v>6593</v>
      </c>
      <c r="DP84" s="616">
        <v>3729</v>
      </c>
      <c r="DQ84" s="616">
        <v>2378</v>
      </c>
      <c r="DR84" s="616">
        <v>2265</v>
      </c>
      <c r="DS84" s="617">
        <v>136</v>
      </c>
      <c r="DT84" s="607">
        <f t="shared" si="1"/>
        <v>51748</v>
      </c>
      <c r="DU84" s="342"/>
      <c r="EC84" s="646"/>
      <c r="EF84" s="130"/>
      <c r="EG84" s="124"/>
    </row>
    <row r="85" spans="1:137" ht="15">
      <c r="A85" s="22">
        <v>77</v>
      </c>
      <c r="B85" s="23" t="s">
        <v>284</v>
      </c>
      <c r="C85" s="24" t="s">
        <v>285</v>
      </c>
      <c r="D85" s="613"/>
      <c r="E85" s="629">
        <v>1904</v>
      </c>
      <c r="F85" s="629">
        <v>19135</v>
      </c>
      <c r="G85" s="629">
        <v>41710</v>
      </c>
      <c r="H85" s="629">
        <v>36523</v>
      </c>
      <c r="I85" s="629">
        <v>21308</v>
      </c>
      <c r="J85" s="629">
        <v>11445</v>
      </c>
      <c r="K85" s="629">
        <v>7356</v>
      </c>
      <c r="L85" s="629">
        <v>624</v>
      </c>
      <c r="M85" s="633">
        <v>140005</v>
      </c>
      <c r="N85" s="322"/>
      <c r="O85" s="323">
        <v>94</v>
      </c>
      <c r="P85" s="323">
        <v>721</v>
      </c>
      <c r="Q85" s="323">
        <v>1205</v>
      </c>
      <c r="R85" s="323">
        <v>690</v>
      </c>
      <c r="S85" s="323">
        <v>317</v>
      </c>
      <c r="T85" s="323">
        <v>152</v>
      </c>
      <c r="U85" s="323">
        <v>93</v>
      </c>
      <c r="V85" s="323">
        <v>14</v>
      </c>
      <c r="W85" s="323">
        <v>3286</v>
      </c>
      <c r="X85" s="329" t="s">
        <v>934</v>
      </c>
      <c r="Y85" s="330">
        <v>0</v>
      </c>
      <c r="Z85" s="330">
        <v>2</v>
      </c>
      <c r="AA85" s="330">
        <v>4</v>
      </c>
      <c r="AB85" s="330">
        <v>5</v>
      </c>
      <c r="AC85" s="330">
        <v>3</v>
      </c>
      <c r="AD85" s="330">
        <v>1</v>
      </c>
      <c r="AE85" s="330">
        <v>4</v>
      </c>
      <c r="AF85" s="330">
        <v>0</v>
      </c>
      <c r="AG85" s="328">
        <v>19</v>
      </c>
      <c r="AH85" s="329" t="s">
        <v>934</v>
      </c>
      <c r="AI85" s="184">
        <v>0</v>
      </c>
      <c r="AJ85" s="184">
        <v>32</v>
      </c>
      <c r="AK85" s="184">
        <v>96</v>
      </c>
      <c r="AL85" s="184">
        <v>161</v>
      </c>
      <c r="AM85" s="184">
        <v>133</v>
      </c>
      <c r="AN85" s="184">
        <v>89</v>
      </c>
      <c r="AO85" s="184">
        <v>70</v>
      </c>
      <c r="AP85" s="184">
        <v>23</v>
      </c>
      <c r="AQ85" s="336">
        <v>604</v>
      </c>
      <c r="AR85" s="323">
        <v>0</v>
      </c>
      <c r="AS85" s="323">
        <v>1172</v>
      </c>
      <c r="AT85" s="323">
        <v>12074</v>
      </c>
      <c r="AU85" s="323">
        <v>19643</v>
      </c>
      <c r="AV85" s="323">
        <v>12346</v>
      </c>
      <c r="AW85" s="323">
        <v>5271</v>
      </c>
      <c r="AX85" s="323">
        <v>2039</v>
      </c>
      <c r="AY85" s="323">
        <v>898</v>
      </c>
      <c r="AZ85" s="323">
        <v>45</v>
      </c>
      <c r="BA85" s="323">
        <v>53488</v>
      </c>
      <c r="BB85" s="331">
        <v>0</v>
      </c>
      <c r="BC85" s="330">
        <v>7</v>
      </c>
      <c r="BD85" s="330">
        <v>102</v>
      </c>
      <c r="BE85" s="330">
        <v>343</v>
      </c>
      <c r="BF85" s="330">
        <v>344</v>
      </c>
      <c r="BG85" s="330">
        <v>134</v>
      </c>
      <c r="BH85" s="330">
        <v>67</v>
      </c>
      <c r="BI85" s="330">
        <v>46</v>
      </c>
      <c r="BJ85" s="330">
        <v>2</v>
      </c>
      <c r="BK85" s="328">
        <v>1045</v>
      </c>
      <c r="BL85" s="323">
        <v>0</v>
      </c>
      <c r="BM85" s="323">
        <v>4</v>
      </c>
      <c r="BN85" s="323">
        <v>23</v>
      </c>
      <c r="BO85" s="323">
        <v>28</v>
      </c>
      <c r="BP85" s="323">
        <v>18</v>
      </c>
      <c r="BQ85" s="323">
        <v>16</v>
      </c>
      <c r="BR85" s="323">
        <v>34</v>
      </c>
      <c r="BS85" s="323">
        <v>55</v>
      </c>
      <c r="BT85" s="323">
        <v>23</v>
      </c>
      <c r="BU85" s="323">
        <v>201</v>
      </c>
      <c r="BV85" s="329" t="s">
        <v>934</v>
      </c>
      <c r="BW85" s="330">
        <v>27</v>
      </c>
      <c r="BX85" s="330">
        <v>159</v>
      </c>
      <c r="BY85" s="330">
        <v>258</v>
      </c>
      <c r="BZ85" s="330">
        <v>137</v>
      </c>
      <c r="CA85" s="330">
        <v>62</v>
      </c>
      <c r="CB85" s="330">
        <v>31</v>
      </c>
      <c r="CC85" s="330">
        <v>22</v>
      </c>
      <c r="CD85" s="330">
        <v>3</v>
      </c>
      <c r="CE85" s="328">
        <v>699</v>
      </c>
      <c r="CF85" s="322" t="s">
        <v>934</v>
      </c>
      <c r="CG85" s="323">
        <v>0</v>
      </c>
      <c r="CH85" s="323">
        <v>0</v>
      </c>
      <c r="CI85" s="323">
        <v>0</v>
      </c>
      <c r="CJ85" s="323">
        <v>0</v>
      </c>
      <c r="CK85" s="323">
        <v>0</v>
      </c>
      <c r="CL85" s="323">
        <v>0</v>
      </c>
      <c r="CM85" s="323">
        <v>0</v>
      </c>
      <c r="CN85" s="323">
        <v>0</v>
      </c>
      <c r="CO85" s="323">
        <v>0</v>
      </c>
      <c r="CP85" s="329" t="s">
        <v>934</v>
      </c>
      <c r="CQ85" s="330">
        <v>71</v>
      </c>
      <c r="CR85" s="330">
        <v>444</v>
      </c>
      <c r="CS85" s="330">
        <v>750</v>
      </c>
      <c r="CT85" s="330">
        <v>349</v>
      </c>
      <c r="CU85" s="330">
        <v>193</v>
      </c>
      <c r="CV85" s="330">
        <v>114</v>
      </c>
      <c r="CW85" s="330">
        <v>79</v>
      </c>
      <c r="CX85" s="330">
        <v>22</v>
      </c>
      <c r="CY85" s="328">
        <v>2022</v>
      </c>
      <c r="CZ85" s="322" t="s">
        <v>934</v>
      </c>
      <c r="DA85" s="323">
        <v>27</v>
      </c>
      <c r="DB85" s="323">
        <v>159</v>
      </c>
      <c r="DC85" s="323">
        <v>258</v>
      </c>
      <c r="DD85" s="323">
        <v>137</v>
      </c>
      <c r="DE85" s="323">
        <v>62</v>
      </c>
      <c r="DF85" s="323">
        <v>31</v>
      </c>
      <c r="DG85" s="323">
        <v>22</v>
      </c>
      <c r="DH85" s="323">
        <v>3</v>
      </c>
      <c r="DI85" s="323">
        <v>699</v>
      </c>
      <c r="DJ85" s="337">
        <v>11</v>
      </c>
      <c r="DK85" s="644">
        <v>128999</v>
      </c>
      <c r="DL85" s="616">
        <v>1960</v>
      </c>
      <c r="DM85" s="616">
        <v>19386</v>
      </c>
      <c r="DN85" s="616">
        <v>42462</v>
      </c>
      <c r="DO85" s="616">
        <v>36727</v>
      </c>
      <c r="DP85" s="616">
        <v>21307</v>
      </c>
      <c r="DQ85" s="616">
        <v>11427</v>
      </c>
      <c r="DR85" s="616">
        <v>7343</v>
      </c>
      <c r="DS85" s="617">
        <v>618</v>
      </c>
      <c r="DT85" s="608">
        <f t="shared" si="1"/>
        <v>141230</v>
      </c>
      <c r="DU85" s="342"/>
      <c r="EC85" s="646"/>
      <c r="EF85" s="125"/>
      <c r="EG85" s="128"/>
    </row>
    <row r="86" spans="1:137" ht="15">
      <c r="A86" s="22">
        <v>78</v>
      </c>
      <c r="B86" s="23" t="s">
        <v>286</v>
      </c>
      <c r="C86" s="24" t="s">
        <v>287</v>
      </c>
      <c r="D86" s="613"/>
      <c r="E86" s="629">
        <v>1120</v>
      </c>
      <c r="F86" s="629">
        <v>7712</v>
      </c>
      <c r="G86" s="629">
        <v>17722</v>
      </c>
      <c r="H86" s="629">
        <v>13990</v>
      </c>
      <c r="I86" s="629">
        <v>8093</v>
      </c>
      <c r="J86" s="629">
        <v>5224</v>
      </c>
      <c r="K86" s="629">
        <v>4516</v>
      </c>
      <c r="L86" s="629">
        <v>619</v>
      </c>
      <c r="M86" s="627">
        <v>58996</v>
      </c>
      <c r="N86" s="322"/>
      <c r="O86" s="323">
        <v>67</v>
      </c>
      <c r="P86" s="323">
        <v>291</v>
      </c>
      <c r="Q86" s="323">
        <v>294</v>
      </c>
      <c r="R86" s="323">
        <v>188</v>
      </c>
      <c r="S86" s="323">
        <v>97</v>
      </c>
      <c r="T86" s="323">
        <v>51</v>
      </c>
      <c r="U86" s="323">
        <v>41</v>
      </c>
      <c r="V86" s="323">
        <v>7</v>
      </c>
      <c r="W86" s="323">
        <v>1036</v>
      </c>
      <c r="X86" s="329" t="s">
        <v>934</v>
      </c>
      <c r="Y86" s="330">
        <v>0</v>
      </c>
      <c r="Z86" s="330">
        <v>0</v>
      </c>
      <c r="AA86" s="330">
        <v>0</v>
      </c>
      <c r="AB86" s="330">
        <v>0</v>
      </c>
      <c r="AC86" s="330">
        <v>0</v>
      </c>
      <c r="AD86" s="330">
        <v>0</v>
      </c>
      <c r="AE86" s="330">
        <v>0</v>
      </c>
      <c r="AF86" s="330">
        <v>0</v>
      </c>
      <c r="AG86" s="328">
        <v>0</v>
      </c>
      <c r="AH86" s="329" t="s">
        <v>934</v>
      </c>
      <c r="AI86" s="184">
        <v>4</v>
      </c>
      <c r="AJ86" s="184">
        <v>34</v>
      </c>
      <c r="AK86" s="184">
        <v>92</v>
      </c>
      <c r="AL86" s="184">
        <v>107</v>
      </c>
      <c r="AM86" s="184">
        <v>81</v>
      </c>
      <c r="AN86" s="184">
        <v>51</v>
      </c>
      <c r="AO86" s="184">
        <v>39</v>
      </c>
      <c r="AP86" s="184">
        <v>17</v>
      </c>
      <c r="AQ86" s="336">
        <v>425</v>
      </c>
      <c r="AR86" s="323">
        <v>2</v>
      </c>
      <c r="AS86" s="323">
        <v>612</v>
      </c>
      <c r="AT86" s="323">
        <v>4929</v>
      </c>
      <c r="AU86" s="323">
        <v>6703</v>
      </c>
      <c r="AV86" s="323">
        <v>4131</v>
      </c>
      <c r="AW86" s="323">
        <v>1850</v>
      </c>
      <c r="AX86" s="323">
        <v>876</v>
      </c>
      <c r="AY86" s="323">
        <v>578</v>
      </c>
      <c r="AZ86" s="323">
        <v>45</v>
      </c>
      <c r="BA86" s="323">
        <v>19726</v>
      </c>
      <c r="BB86" s="331">
        <v>0</v>
      </c>
      <c r="BC86" s="330">
        <v>3</v>
      </c>
      <c r="BD86" s="330">
        <v>18</v>
      </c>
      <c r="BE86" s="330">
        <v>79</v>
      </c>
      <c r="BF86" s="330">
        <v>52</v>
      </c>
      <c r="BG86" s="330">
        <v>23</v>
      </c>
      <c r="BH86" s="330">
        <v>18</v>
      </c>
      <c r="BI86" s="330">
        <v>11</v>
      </c>
      <c r="BJ86" s="330">
        <v>2</v>
      </c>
      <c r="BK86" s="328">
        <v>206</v>
      </c>
      <c r="BL86" s="323">
        <v>0</v>
      </c>
      <c r="BM86" s="323">
        <v>0</v>
      </c>
      <c r="BN86" s="323">
        <v>4</v>
      </c>
      <c r="BO86" s="323">
        <v>7</v>
      </c>
      <c r="BP86" s="323">
        <v>10</v>
      </c>
      <c r="BQ86" s="323">
        <v>2</v>
      </c>
      <c r="BR86" s="323">
        <v>6</v>
      </c>
      <c r="BS86" s="323">
        <v>16</v>
      </c>
      <c r="BT86" s="323">
        <v>2</v>
      </c>
      <c r="BU86" s="323">
        <v>47</v>
      </c>
      <c r="BV86" s="329" t="s">
        <v>934</v>
      </c>
      <c r="BW86" s="330">
        <v>4</v>
      </c>
      <c r="BX86" s="330">
        <v>31</v>
      </c>
      <c r="BY86" s="330">
        <v>45</v>
      </c>
      <c r="BZ86" s="330">
        <v>44</v>
      </c>
      <c r="CA86" s="330">
        <v>24</v>
      </c>
      <c r="CB86" s="330">
        <v>17</v>
      </c>
      <c r="CC86" s="330">
        <v>18</v>
      </c>
      <c r="CD86" s="330">
        <v>2</v>
      </c>
      <c r="CE86" s="328">
        <v>185</v>
      </c>
      <c r="CF86" s="322" t="s">
        <v>934</v>
      </c>
      <c r="CG86" s="323">
        <v>126</v>
      </c>
      <c r="CH86" s="323">
        <v>165</v>
      </c>
      <c r="CI86" s="323">
        <v>196</v>
      </c>
      <c r="CJ86" s="323">
        <v>140</v>
      </c>
      <c r="CK86" s="323">
        <v>91</v>
      </c>
      <c r="CL86" s="323">
        <v>49</v>
      </c>
      <c r="CM86" s="323">
        <v>34</v>
      </c>
      <c r="CN86" s="323">
        <v>6</v>
      </c>
      <c r="CO86" s="323">
        <v>807</v>
      </c>
      <c r="CP86" s="329" t="s">
        <v>934</v>
      </c>
      <c r="CQ86" s="330">
        <v>0</v>
      </c>
      <c r="CR86" s="330">
        <v>0</v>
      </c>
      <c r="CS86" s="330">
        <v>0</v>
      </c>
      <c r="CT86" s="330">
        <v>0</v>
      </c>
      <c r="CU86" s="330">
        <v>0</v>
      </c>
      <c r="CV86" s="330">
        <v>0</v>
      </c>
      <c r="CW86" s="330">
        <v>0</v>
      </c>
      <c r="CX86" s="330">
        <v>0</v>
      </c>
      <c r="CY86" s="328">
        <v>0</v>
      </c>
      <c r="CZ86" s="322" t="s">
        <v>934</v>
      </c>
      <c r="DA86" s="323">
        <v>0</v>
      </c>
      <c r="DB86" s="323">
        <v>0</v>
      </c>
      <c r="DC86" s="323">
        <v>0</v>
      </c>
      <c r="DD86" s="323">
        <v>0</v>
      </c>
      <c r="DE86" s="323">
        <v>0</v>
      </c>
      <c r="DF86" s="323">
        <v>0</v>
      </c>
      <c r="DG86" s="323">
        <v>0</v>
      </c>
      <c r="DH86" s="323">
        <v>0</v>
      </c>
      <c r="DI86" s="323">
        <v>0</v>
      </c>
      <c r="DJ86" s="337">
        <v>0</v>
      </c>
      <c r="DK86" s="644">
        <v>56324.7</v>
      </c>
      <c r="DL86" s="616">
        <v>1138</v>
      </c>
      <c r="DM86" s="616">
        <v>7730</v>
      </c>
      <c r="DN86" s="616">
        <v>17861</v>
      </c>
      <c r="DO86" s="616">
        <v>14093</v>
      </c>
      <c r="DP86" s="616">
        <v>8138</v>
      </c>
      <c r="DQ86" s="616">
        <v>5229</v>
      </c>
      <c r="DR86" s="616">
        <v>4540</v>
      </c>
      <c r="DS86" s="617">
        <v>639</v>
      </c>
      <c r="DT86" s="607">
        <f t="shared" si="1"/>
        <v>59368</v>
      </c>
      <c r="DU86" s="342"/>
      <c r="EC86" s="646"/>
      <c r="EF86" s="125"/>
      <c r="EG86" s="124"/>
    </row>
    <row r="87" spans="1:137" ht="15">
      <c r="A87" s="22">
        <v>79</v>
      </c>
      <c r="B87" s="23" t="s">
        <v>288</v>
      </c>
      <c r="C87" s="24" t="s">
        <v>289</v>
      </c>
      <c r="D87" s="613"/>
      <c r="E87" s="629">
        <v>22277</v>
      </c>
      <c r="F87" s="629">
        <v>9275</v>
      </c>
      <c r="G87" s="629">
        <v>6350</v>
      </c>
      <c r="H87" s="629">
        <v>4638</v>
      </c>
      <c r="I87" s="629">
        <v>2714</v>
      </c>
      <c r="J87" s="629">
        <v>1079</v>
      </c>
      <c r="K87" s="629">
        <v>454</v>
      </c>
      <c r="L87" s="629">
        <v>50</v>
      </c>
      <c r="M87" s="627">
        <v>46837</v>
      </c>
      <c r="N87" s="322"/>
      <c r="O87" s="323">
        <v>590</v>
      </c>
      <c r="P87" s="323">
        <v>199</v>
      </c>
      <c r="Q87" s="323">
        <v>122</v>
      </c>
      <c r="R87" s="323">
        <v>94</v>
      </c>
      <c r="S87" s="323">
        <v>42</v>
      </c>
      <c r="T87" s="323">
        <v>13</v>
      </c>
      <c r="U87" s="323">
        <v>7</v>
      </c>
      <c r="V87" s="323">
        <v>0</v>
      </c>
      <c r="W87" s="323">
        <v>1067</v>
      </c>
      <c r="X87" s="329" t="s">
        <v>934</v>
      </c>
      <c r="Y87" s="330">
        <v>0</v>
      </c>
      <c r="Z87" s="330">
        <v>0</v>
      </c>
      <c r="AA87" s="330">
        <v>0</v>
      </c>
      <c r="AB87" s="330">
        <v>0</v>
      </c>
      <c r="AC87" s="330">
        <v>0</v>
      </c>
      <c r="AD87" s="330">
        <v>0</v>
      </c>
      <c r="AE87" s="330">
        <v>0</v>
      </c>
      <c r="AF87" s="330">
        <v>0</v>
      </c>
      <c r="AG87" s="328">
        <v>0</v>
      </c>
      <c r="AH87" s="329" t="s">
        <v>934</v>
      </c>
      <c r="AI87" s="184">
        <v>53</v>
      </c>
      <c r="AJ87" s="184">
        <v>51</v>
      </c>
      <c r="AK87" s="184">
        <v>40</v>
      </c>
      <c r="AL87" s="184">
        <v>44</v>
      </c>
      <c r="AM87" s="184">
        <v>23</v>
      </c>
      <c r="AN87" s="184">
        <v>11</v>
      </c>
      <c r="AO87" s="184">
        <v>8</v>
      </c>
      <c r="AP87" s="184">
        <v>16</v>
      </c>
      <c r="AQ87" s="336">
        <v>246</v>
      </c>
      <c r="AR87" s="323">
        <v>16</v>
      </c>
      <c r="AS87" s="323">
        <v>10785</v>
      </c>
      <c r="AT87" s="323">
        <v>2864</v>
      </c>
      <c r="AU87" s="323">
        <v>1784</v>
      </c>
      <c r="AV87" s="323">
        <v>959</v>
      </c>
      <c r="AW87" s="323">
        <v>449</v>
      </c>
      <c r="AX87" s="323">
        <v>147</v>
      </c>
      <c r="AY87" s="323">
        <v>54</v>
      </c>
      <c r="AZ87" s="323">
        <v>1</v>
      </c>
      <c r="BA87" s="323">
        <v>17059</v>
      </c>
      <c r="BB87" s="331">
        <v>0</v>
      </c>
      <c r="BC87" s="330">
        <v>133</v>
      </c>
      <c r="BD87" s="330">
        <v>78</v>
      </c>
      <c r="BE87" s="330">
        <v>49</v>
      </c>
      <c r="BF87" s="330">
        <v>38</v>
      </c>
      <c r="BG87" s="330">
        <v>12</v>
      </c>
      <c r="BH87" s="330">
        <v>3</v>
      </c>
      <c r="BI87" s="330">
        <v>3</v>
      </c>
      <c r="BJ87" s="330">
        <v>0</v>
      </c>
      <c r="BK87" s="328">
        <v>316</v>
      </c>
      <c r="BL87" s="323">
        <v>0</v>
      </c>
      <c r="BM87" s="323">
        <v>22</v>
      </c>
      <c r="BN87" s="323">
        <v>10</v>
      </c>
      <c r="BO87" s="323">
        <v>8</v>
      </c>
      <c r="BP87" s="323">
        <v>6</v>
      </c>
      <c r="BQ87" s="323">
        <v>2</v>
      </c>
      <c r="BR87" s="323">
        <v>4</v>
      </c>
      <c r="BS87" s="323">
        <v>28</v>
      </c>
      <c r="BT87" s="323">
        <v>6</v>
      </c>
      <c r="BU87" s="323">
        <v>86</v>
      </c>
      <c r="BV87" s="329" t="s">
        <v>934</v>
      </c>
      <c r="BW87" s="330">
        <v>91</v>
      </c>
      <c r="BX87" s="330">
        <v>39</v>
      </c>
      <c r="BY87" s="330">
        <v>77</v>
      </c>
      <c r="BZ87" s="330">
        <v>17</v>
      </c>
      <c r="CA87" s="330">
        <v>18</v>
      </c>
      <c r="CB87" s="330">
        <v>6</v>
      </c>
      <c r="CC87" s="330">
        <v>3</v>
      </c>
      <c r="CD87" s="330">
        <v>1</v>
      </c>
      <c r="CE87" s="328">
        <v>252</v>
      </c>
      <c r="CF87" s="322" t="s">
        <v>934</v>
      </c>
      <c r="CG87" s="323">
        <v>0</v>
      </c>
      <c r="CH87" s="323">
        <v>0</v>
      </c>
      <c r="CI87" s="323">
        <v>0</v>
      </c>
      <c r="CJ87" s="323">
        <v>0</v>
      </c>
      <c r="CK87" s="323">
        <v>0</v>
      </c>
      <c r="CL87" s="323">
        <v>0</v>
      </c>
      <c r="CM87" s="323">
        <v>0</v>
      </c>
      <c r="CN87" s="323">
        <v>0</v>
      </c>
      <c r="CO87" s="323">
        <v>0</v>
      </c>
      <c r="CP87" s="329" t="s">
        <v>934</v>
      </c>
      <c r="CQ87" s="330">
        <v>545</v>
      </c>
      <c r="CR87" s="330">
        <v>137</v>
      </c>
      <c r="CS87" s="330">
        <v>78</v>
      </c>
      <c r="CT87" s="330">
        <v>41</v>
      </c>
      <c r="CU87" s="330">
        <v>27</v>
      </c>
      <c r="CV87" s="330">
        <v>12</v>
      </c>
      <c r="CW87" s="330">
        <v>7</v>
      </c>
      <c r="CX87" s="330">
        <v>2</v>
      </c>
      <c r="CY87" s="328">
        <v>849</v>
      </c>
      <c r="CZ87" s="322" t="s">
        <v>934</v>
      </c>
      <c r="DA87" s="323">
        <v>0</v>
      </c>
      <c r="DB87" s="323">
        <v>0</v>
      </c>
      <c r="DC87" s="323">
        <v>0</v>
      </c>
      <c r="DD87" s="323">
        <v>0</v>
      </c>
      <c r="DE87" s="323">
        <v>0</v>
      </c>
      <c r="DF87" s="323">
        <v>0</v>
      </c>
      <c r="DG87" s="323">
        <v>0</v>
      </c>
      <c r="DH87" s="323">
        <v>0</v>
      </c>
      <c r="DI87" s="323">
        <v>0</v>
      </c>
      <c r="DJ87" s="337">
        <v>0</v>
      </c>
      <c r="DK87" s="644">
        <v>33784</v>
      </c>
      <c r="DL87" s="616">
        <v>22301</v>
      </c>
      <c r="DM87" s="616">
        <v>9449</v>
      </c>
      <c r="DN87" s="616">
        <v>6464</v>
      </c>
      <c r="DO87" s="616">
        <v>4729</v>
      </c>
      <c r="DP87" s="616">
        <v>2761</v>
      </c>
      <c r="DQ87" s="616">
        <v>1084</v>
      </c>
      <c r="DR87" s="616">
        <v>472</v>
      </c>
      <c r="DS87" s="617">
        <v>47</v>
      </c>
      <c r="DT87" s="607">
        <f t="shared" si="1"/>
        <v>47307</v>
      </c>
      <c r="DU87" s="342"/>
      <c r="EC87" s="646"/>
      <c r="EF87" s="125"/>
      <c r="EG87" s="124"/>
    </row>
    <row r="88" spans="1:137" ht="15">
      <c r="A88" s="22">
        <v>80</v>
      </c>
      <c r="B88" s="23" t="s">
        <v>290</v>
      </c>
      <c r="C88" s="24" t="s">
        <v>291</v>
      </c>
      <c r="D88" s="613"/>
      <c r="E88" s="626">
        <v>1575</v>
      </c>
      <c r="F88" s="626">
        <v>6582</v>
      </c>
      <c r="G88" s="626">
        <v>13619</v>
      </c>
      <c r="H88" s="626">
        <v>8762</v>
      </c>
      <c r="I88" s="626">
        <v>4712</v>
      </c>
      <c r="J88" s="626">
        <v>2217</v>
      </c>
      <c r="K88" s="626">
        <v>848</v>
      </c>
      <c r="L88" s="626">
        <v>53</v>
      </c>
      <c r="M88" s="627">
        <v>38368</v>
      </c>
      <c r="N88" s="322"/>
      <c r="O88" s="323">
        <v>91</v>
      </c>
      <c r="P88" s="323">
        <v>209</v>
      </c>
      <c r="Q88" s="323">
        <v>303</v>
      </c>
      <c r="R88" s="323">
        <v>132</v>
      </c>
      <c r="S88" s="323">
        <v>74</v>
      </c>
      <c r="T88" s="323">
        <v>29</v>
      </c>
      <c r="U88" s="323">
        <v>9</v>
      </c>
      <c r="V88" s="323">
        <v>2</v>
      </c>
      <c r="W88" s="323">
        <v>849</v>
      </c>
      <c r="X88" s="329" t="s">
        <v>934</v>
      </c>
      <c r="Y88" s="330">
        <v>0</v>
      </c>
      <c r="Z88" s="330">
        <v>0</v>
      </c>
      <c r="AA88" s="330">
        <v>0</v>
      </c>
      <c r="AB88" s="330">
        <v>0</v>
      </c>
      <c r="AC88" s="330">
        <v>0</v>
      </c>
      <c r="AD88" s="330">
        <v>0</v>
      </c>
      <c r="AE88" s="330">
        <v>0</v>
      </c>
      <c r="AF88" s="330">
        <v>0</v>
      </c>
      <c r="AG88" s="328">
        <v>0</v>
      </c>
      <c r="AH88" s="329" t="s">
        <v>934</v>
      </c>
      <c r="AI88" s="184">
        <v>3</v>
      </c>
      <c r="AJ88" s="184">
        <v>49</v>
      </c>
      <c r="AK88" s="184">
        <v>82</v>
      </c>
      <c r="AL88" s="184">
        <v>60</v>
      </c>
      <c r="AM88" s="184">
        <v>32</v>
      </c>
      <c r="AN88" s="184">
        <v>18</v>
      </c>
      <c r="AO88" s="184">
        <v>11</v>
      </c>
      <c r="AP88" s="184">
        <v>13</v>
      </c>
      <c r="AQ88" s="336">
        <v>268</v>
      </c>
      <c r="AR88" s="323">
        <v>2</v>
      </c>
      <c r="AS88" s="323">
        <v>1060</v>
      </c>
      <c r="AT88" s="323">
        <v>3583</v>
      </c>
      <c r="AU88" s="323">
        <v>4642</v>
      </c>
      <c r="AV88" s="323">
        <v>2367</v>
      </c>
      <c r="AW88" s="323">
        <v>897</v>
      </c>
      <c r="AX88" s="323">
        <v>330</v>
      </c>
      <c r="AY88" s="323">
        <v>97</v>
      </c>
      <c r="AZ88" s="323">
        <v>2</v>
      </c>
      <c r="BA88" s="323">
        <v>12980</v>
      </c>
      <c r="BB88" s="331">
        <v>0</v>
      </c>
      <c r="BC88" s="330">
        <v>4</v>
      </c>
      <c r="BD88" s="330">
        <v>32</v>
      </c>
      <c r="BE88" s="330">
        <v>110</v>
      </c>
      <c r="BF88" s="330">
        <v>49</v>
      </c>
      <c r="BG88" s="330">
        <v>30</v>
      </c>
      <c r="BH88" s="330">
        <v>17</v>
      </c>
      <c r="BI88" s="330">
        <v>2</v>
      </c>
      <c r="BJ88" s="330">
        <v>0</v>
      </c>
      <c r="BK88" s="328">
        <v>244</v>
      </c>
      <c r="BL88" s="323">
        <v>0</v>
      </c>
      <c r="BM88" s="323">
        <v>1</v>
      </c>
      <c r="BN88" s="323">
        <v>2</v>
      </c>
      <c r="BO88" s="323">
        <v>2</v>
      </c>
      <c r="BP88" s="323">
        <v>4</v>
      </c>
      <c r="BQ88" s="323">
        <v>6</v>
      </c>
      <c r="BR88" s="323">
        <v>7</v>
      </c>
      <c r="BS88" s="323">
        <v>14</v>
      </c>
      <c r="BT88" s="323">
        <v>4</v>
      </c>
      <c r="BU88" s="323">
        <v>40</v>
      </c>
      <c r="BV88" s="329" t="s">
        <v>934</v>
      </c>
      <c r="BW88" s="330">
        <v>24</v>
      </c>
      <c r="BX88" s="330">
        <v>57</v>
      </c>
      <c r="BY88" s="330">
        <v>82</v>
      </c>
      <c r="BZ88" s="330">
        <v>36</v>
      </c>
      <c r="CA88" s="330">
        <v>31</v>
      </c>
      <c r="CB88" s="330">
        <v>9</v>
      </c>
      <c r="CC88" s="330">
        <v>5</v>
      </c>
      <c r="CD88" s="330">
        <v>0</v>
      </c>
      <c r="CE88" s="328">
        <v>244</v>
      </c>
      <c r="CF88" s="322" t="s">
        <v>934</v>
      </c>
      <c r="CG88" s="323">
        <v>0</v>
      </c>
      <c r="CH88" s="323">
        <v>0</v>
      </c>
      <c r="CI88" s="323">
        <v>0</v>
      </c>
      <c r="CJ88" s="323">
        <v>0</v>
      </c>
      <c r="CK88" s="323">
        <v>0</v>
      </c>
      <c r="CL88" s="323">
        <v>0</v>
      </c>
      <c r="CM88" s="323">
        <v>0</v>
      </c>
      <c r="CN88" s="323">
        <v>0</v>
      </c>
      <c r="CO88" s="323">
        <v>0</v>
      </c>
      <c r="CP88" s="329" t="s">
        <v>934</v>
      </c>
      <c r="CQ88" s="330">
        <v>0</v>
      </c>
      <c r="CR88" s="330">
        <v>0</v>
      </c>
      <c r="CS88" s="330">
        <v>0</v>
      </c>
      <c r="CT88" s="330">
        <v>0</v>
      </c>
      <c r="CU88" s="330">
        <v>0</v>
      </c>
      <c r="CV88" s="330">
        <v>0</v>
      </c>
      <c r="CW88" s="330">
        <v>0</v>
      </c>
      <c r="CX88" s="330">
        <v>0</v>
      </c>
      <c r="CY88" s="328">
        <v>0</v>
      </c>
      <c r="CZ88" s="322" t="s">
        <v>934</v>
      </c>
      <c r="DA88" s="323">
        <v>38</v>
      </c>
      <c r="DB88" s="323">
        <v>78</v>
      </c>
      <c r="DC88" s="323">
        <v>115</v>
      </c>
      <c r="DD88" s="323">
        <v>59</v>
      </c>
      <c r="DE88" s="323">
        <v>21</v>
      </c>
      <c r="DF88" s="323">
        <v>18</v>
      </c>
      <c r="DG88" s="323">
        <v>8</v>
      </c>
      <c r="DH88" s="323">
        <v>2</v>
      </c>
      <c r="DI88" s="323">
        <v>339</v>
      </c>
      <c r="DJ88" s="337">
        <v>0</v>
      </c>
      <c r="DK88" s="644">
        <v>33489.7</v>
      </c>
      <c r="DL88" s="614">
        <v>1579</v>
      </c>
      <c r="DM88" s="614">
        <v>6626</v>
      </c>
      <c r="DN88" s="614">
        <v>13750</v>
      </c>
      <c r="DO88" s="614">
        <v>9050</v>
      </c>
      <c r="DP88" s="614">
        <v>4795</v>
      </c>
      <c r="DQ88" s="614">
        <v>2271</v>
      </c>
      <c r="DR88" s="614">
        <v>861</v>
      </c>
      <c r="DS88" s="615">
        <v>55</v>
      </c>
      <c r="DT88" s="607">
        <f t="shared" si="1"/>
        <v>38987</v>
      </c>
      <c r="DU88" s="342"/>
      <c r="EC88" s="646"/>
      <c r="EF88" s="123"/>
      <c r="EG88" s="124"/>
    </row>
    <row r="89" spans="1:137" ht="15">
      <c r="A89" s="22">
        <v>81</v>
      </c>
      <c r="B89" s="23" t="s">
        <v>292</v>
      </c>
      <c r="C89" s="24" t="s">
        <v>293</v>
      </c>
      <c r="D89" s="613"/>
      <c r="E89" s="630">
        <v>3555</v>
      </c>
      <c r="F89" s="630">
        <v>7824</v>
      </c>
      <c r="G89" s="630">
        <v>7016</v>
      </c>
      <c r="H89" s="630">
        <v>4814</v>
      </c>
      <c r="I89" s="630">
        <v>3870</v>
      </c>
      <c r="J89" s="630">
        <v>2435</v>
      </c>
      <c r="K89" s="630">
        <v>2068</v>
      </c>
      <c r="L89" s="630">
        <v>113</v>
      </c>
      <c r="M89" s="627">
        <v>31695</v>
      </c>
      <c r="N89" s="322"/>
      <c r="O89" s="323">
        <v>88</v>
      </c>
      <c r="P89" s="323">
        <v>135</v>
      </c>
      <c r="Q89" s="323">
        <v>87</v>
      </c>
      <c r="R89" s="323">
        <v>63</v>
      </c>
      <c r="S89" s="323">
        <v>41</v>
      </c>
      <c r="T89" s="323">
        <v>23</v>
      </c>
      <c r="U89" s="323">
        <v>18</v>
      </c>
      <c r="V89" s="323">
        <v>2</v>
      </c>
      <c r="W89" s="323">
        <v>457</v>
      </c>
      <c r="X89" s="329" t="s">
        <v>934</v>
      </c>
      <c r="Y89" s="330">
        <v>1</v>
      </c>
      <c r="Z89" s="330">
        <v>0</v>
      </c>
      <c r="AA89" s="330">
        <v>0</v>
      </c>
      <c r="AB89" s="330">
        <v>1</v>
      </c>
      <c r="AC89" s="330">
        <v>0</v>
      </c>
      <c r="AD89" s="330">
        <v>0</v>
      </c>
      <c r="AE89" s="330">
        <v>0</v>
      </c>
      <c r="AF89" s="330">
        <v>0</v>
      </c>
      <c r="AG89" s="328">
        <v>2</v>
      </c>
      <c r="AH89" s="329" t="s">
        <v>934</v>
      </c>
      <c r="AI89" s="184">
        <v>6</v>
      </c>
      <c r="AJ89" s="184">
        <v>42</v>
      </c>
      <c r="AK89" s="184">
        <v>29</v>
      </c>
      <c r="AL89" s="184">
        <v>25</v>
      </c>
      <c r="AM89" s="184">
        <v>26</v>
      </c>
      <c r="AN89" s="184">
        <v>19</v>
      </c>
      <c r="AO89" s="184">
        <v>16</v>
      </c>
      <c r="AP89" s="184">
        <v>7</v>
      </c>
      <c r="AQ89" s="336">
        <v>170</v>
      </c>
      <c r="AR89" s="323">
        <v>1</v>
      </c>
      <c r="AS89" s="323">
        <v>1859</v>
      </c>
      <c r="AT89" s="323">
        <v>3085</v>
      </c>
      <c r="AU89" s="323">
        <v>2055</v>
      </c>
      <c r="AV89" s="323">
        <v>975</v>
      </c>
      <c r="AW89" s="323">
        <v>581</v>
      </c>
      <c r="AX89" s="323">
        <v>310</v>
      </c>
      <c r="AY89" s="323">
        <v>229</v>
      </c>
      <c r="AZ89" s="323">
        <v>13</v>
      </c>
      <c r="BA89" s="323">
        <v>9108</v>
      </c>
      <c r="BB89" s="331">
        <v>0</v>
      </c>
      <c r="BC89" s="330">
        <v>8</v>
      </c>
      <c r="BD89" s="330">
        <v>50</v>
      </c>
      <c r="BE89" s="330">
        <v>33</v>
      </c>
      <c r="BF89" s="330">
        <v>22</v>
      </c>
      <c r="BG89" s="330">
        <v>22</v>
      </c>
      <c r="BH89" s="330">
        <v>13</v>
      </c>
      <c r="BI89" s="330">
        <v>9</v>
      </c>
      <c r="BJ89" s="330">
        <v>0</v>
      </c>
      <c r="BK89" s="328">
        <v>157</v>
      </c>
      <c r="BL89" s="323">
        <v>0</v>
      </c>
      <c r="BM89" s="323">
        <v>2</v>
      </c>
      <c r="BN89" s="323">
        <v>4</v>
      </c>
      <c r="BO89" s="323">
        <v>2</v>
      </c>
      <c r="BP89" s="323">
        <v>1</v>
      </c>
      <c r="BQ89" s="323">
        <v>1</v>
      </c>
      <c r="BR89" s="323">
        <v>5</v>
      </c>
      <c r="BS89" s="323">
        <v>7</v>
      </c>
      <c r="BT89" s="323">
        <v>1</v>
      </c>
      <c r="BU89" s="323">
        <v>23</v>
      </c>
      <c r="BV89" s="329" t="s">
        <v>934</v>
      </c>
      <c r="BW89" s="330">
        <v>17</v>
      </c>
      <c r="BX89" s="330">
        <v>26</v>
      </c>
      <c r="BY89" s="330">
        <v>24</v>
      </c>
      <c r="BZ89" s="330">
        <v>83</v>
      </c>
      <c r="CA89" s="330">
        <v>13</v>
      </c>
      <c r="CB89" s="330">
        <v>13</v>
      </c>
      <c r="CC89" s="330">
        <v>17</v>
      </c>
      <c r="CD89" s="330">
        <v>3</v>
      </c>
      <c r="CE89" s="328">
        <v>196</v>
      </c>
      <c r="CF89" s="322" t="s">
        <v>934</v>
      </c>
      <c r="CG89" s="323">
        <v>48</v>
      </c>
      <c r="CH89" s="323">
        <v>43</v>
      </c>
      <c r="CI89" s="323">
        <v>40</v>
      </c>
      <c r="CJ89" s="323">
        <v>32</v>
      </c>
      <c r="CK89" s="323">
        <v>18</v>
      </c>
      <c r="CL89" s="323">
        <v>12</v>
      </c>
      <c r="CM89" s="323">
        <v>8</v>
      </c>
      <c r="CN89" s="323">
        <v>5</v>
      </c>
      <c r="CO89" s="323">
        <v>206</v>
      </c>
      <c r="CP89" s="329" t="s">
        <v>934</v>
      </c>
      <c r="CQ89" s="330">
        <v>0</v>
      </c>
      <c r="CR89" s="330">
        <v>0</v>
      </c>
      <c r="CS89" s="330">
        <v>0</v>
      </c>
      <c r="CT89" s="330">
        <v>0</v>
      </c>
      <c r="CU89" s="330">
        <v>0</v>
      </c>
      <c r="CV89" s="330">
        <v>0</v>
      </c>
      <c r="CW89" s="330">
        <v>0</v>
      </c>
      <c r="CX89" s="330">
        <v>0</v>
      </c>
      <c r="CY89" s="328">
        <v>0</v>
      </c>
      <c r="CZ89" s="322" t="s">
        <v>934</v>
      </c>
      <c r="DA89" s="323">
        <v>0</v>
      </c>
      <c r="DB89" s="323">
        <v>0</v>
      </c>
      <c r="DC89" s="323">
        <v>0</v>
      </c>
      <c r="DD89" s="323">
        <v>0</v>
      </c>
      <c r="DE89" s="323">
        <v>0</v>
      </c>
      <c r="DF89" s="323">
        <v>0</v>
      </c>
      <c r="DG89" s="323">
        <v>0</v>
      </c>
      <c r="DH89" s="323">
        <v>0</v>
      </c>
      <c r="DI89" s="323">
        <v>0</v>
      </c>
      <c r="DJ89" s="337">
        <v>0</v>
      </c>
      <c r="DK89" s="644">
        <v>28719.9</v>
      </c>
      <c r="DL89" s="614">
        <v>3553</v>
      </c>
      <c r="DM89" s="614">
        <v>7971</v>
      </c>
      <c r="DN89" s="614">
        <v>7067</v>
      </c>
      <c r="DO89" s="614">
        <v>4844</v>
      </c>
      <c r="DP89" s="614">
        <v>3924</v>
      </c>
      <c r="DQ89" s="614">
        <v>2461</v>
      </c>
      <c r="DR89" s="614">
        <v>2087</v>
      </c>
      <c r="DS89" s="615">
        <v>116</v>
      </c>
      <c r="DT89" s="607">
        <f t="shared" si="1"/>
        <v>32023</v>
      </c>
      <c r="DU89" s="342"/>
      <c r="EC89" s="646"/>
      <c r="EF89" s="127"/>
      <c r="EG89" s="124"/>
    </row>
    <row r="90" spans="1:137" ht="15">
      <c r="A90" s="22">
        <v>82</v>
      </c>
      <c r="B90" s="23" t="s">
        <v>294</v>
      </c>
      <c r="C90" s="24" t="s">
        <v>295</v>
      </c>
      <c r="D90" s="613"/>
      <c r="E90" s="629">
        <v>54210</v>
      </c>
      <c r="F90" s="629">
        <v>18705</v>
      </c>
      <c r="G90" s="629">
        <v>15238</v>
      </c>
      <c r="H90" s="629">
        <v>7966</v>
      </c>
      <c r="I90" s="629">
        <v>3988</v>
      </c>
      <c r="J90" s="629">
        <v>2024</v>
      </c>
      <c r="K90" s="629">
        <v>601</v>
      </c>
      <c r="L90" s="629">
        <v>43</v>
      </c>
      <c r="M90" s="627">
        <v>102775</v>
      </c>
      <c r="N90" s="322"/>
      <c r="O90" s="323">
        <v>3031</v>
      </c>
      <c r="P90" s="323">
        <v>537</v>
      </c>
      <c r="Q90" s="323">
        <v>358</v>
      </c>
      <c r="R90" s="323">
        <v>156</v>
      </c>
      <c r="S90" s="323">
        <v>50</v>
      </c>
      <c r="T90" s="323">
        <v>25</v>
      </c>
      <c r="U90" s="323">
        <v>11</v>
      </c>
      <c r="V90" s="323">
        <v>16</v>
      </c>
      <c r="W90" s="323">
        <v>4184</v>
      </c>
      <c r="X90" s="329" t="s">
        <v>934</v>
      </c>
      <c r="Y90" s="330">
        <v>126</v>
      </c>
      <c r="Z90" s="330">
        <v>1</v>
      </c>
      <c r="AA90" s="330">
        <v>3</v>
      </c>
      <c r="AB90" s="330">
        <v>0</v>
      </c>
      <c r="AC90" s="330">
        <v>1</v>
      </c>
      <c r="AD90" s="330">
        <v>0</v>
      </c>
      <c r="AE90" s="330">
        <v>0</v>
      </c>
      <c r="AF90" s="330">
        <v>0</v>
      </c>
      <c r="AG90" s="328">
        <v>131</v>
      </c>
      <c r="AH90" s="329" t="s">
        <v>934</v>
      </c>
      <c r="AI90" s="184">
        <v>88</v>
      </c>
      <c r="AJ90" s="184">
        <v>88</v>
      </c>
      <c r="AK90" s="184">
        <v>112</v>
      </c>
      <c r="AL90" s="184">
        <v>59</v>
      </c>
      <c r="AM90" s="184">
        <v>32</v>
      </c>
      <c r="AN90" s="184">
        <v>18</v>
      </c>
      <c r="AO90" s="184">
        <v>34</v>
      </c>
      <c r="AP90" s="184">
        <v>17</v>
      </c>
      <c r="AQ90" s="336">
        <v>448</v>
      </c>
      <c r="AR90" s="323">
        <v>24</v>
      </c>
      <c r="AS90" s="323">
        <v>25684</v>
      </c>
      <c r="AT90" s="323">
        <v>6379</v>
      </c>
      <c r="AU90" s="323">
        <v>4251</v>
      </c>
      <c r="AV90" s="323">
        <v>1660</v>
      </c>
      <c r="AW90" s="323">
        <v>567</v>
      </c>
      <c r="AX90" s="323">
        <v>208</v>
      </c>
      <c r="AY90" s="323">
        <v>55</v>
      </c>
      <c r="AZ90" s="323">
        <v>0</v>
      </c>
      <c r="BA90" s="323">
        <v>38828</v>
      </c>
      <c r="BB90" s="331">
        <v>2</v>
      </c>
      <c r="BC90" s="330">
        <v>523</v>
      </c>
      <c r="BD90" s="330">
        <v>209</v>
      </c>
      <c r="BE90" s="330">
        <v>172</v>
      </c>
      <c r="BF90" s="330">
        <v>72</v>
      </c>
      <c r="BG90" s="330">
        <v>29</v>
      </c>
      <c r="BH90" s="330">
        <v>13</v>
      </c>
      <c r="BI90" s="330">
        <v>2</v>
      </c>
      <c r="BJ90" s="330">
        <v>0</v>
      </c>
      <c r="BK90" s="328">
        <v>1022</v>
      </c>
      <c r="BL90" s="323">
        <v>0</v>
      </c>
      <c r="BM90" s="323">
        <v>58</v>
      </c>
      <c r="BN90" s="323">
        <v>13</v>
      </c>
      <c r="BO90" s="323">
        <v>17</v>
      </c>
      <c r="BP90" s="323">
        <v>11</v>
      </c>
      <c r="BQ90" s="323">
        <v>6</v>
      </c>
      <c r="BR90" s="323">
        <v>37</v>
      </c>
      <c r="BS90" s="323">
        <v>31</v>
      </c>
      <c r="BT90" s="323">
        <v>3</v>
      </c>
      <c r="BU90" s="323">
        <v>176</v>
      </c>
      <c r="BV90" s="329" t="s">
        <v>934</v>
      </c>
      <c r="BW90" s="330">
        <v>18</v>
      </c>
      <c r="BX90" s="330">
        <v>5</v>
      </c>
      <c r="BY90" s="330">
        <v>6</v>
      </c>
      <c r="BZ90" s="330">
        <v>3</v>
      </c>
      <c r="CA90" s="330">
        <v>2</v>
      </c>
      <c r="CB90" s="330">
        <v>2</v>
      </c>
      <c r="CC90" s="330">
        <v>0</v>
      </c>
      <c r="CD90" s="330">
        <v>0</v>
      </c>
      <c r="CE90" s="328">
        <v>36</v>
      </c>
      <c r="CF90" s="322" t="s">
        <v>934</v>
      </c>
      <c r="CG90" s="323">
        <v>9</v>
      </c>
      <c r="CH90" s="323">
        <v>5</v>
      </c>
      <c r="CI90" s="323">
        <v>1</v>
      </c>
      <c r="CJ90" s="323">
        <v>1</v>
      </c>
      <c r="CK90" s="323">
        <v>1</v>
      </c>
      <c r="CL90" s="323">
        <v>0</v>
      </c>
      <c r="CM90" s="323">
        <v>0</v>
      </c>
      <c r="CN90" s="323">
        <v>0</v>
      </c>
      <c r="CO90" s="323">
        <v>17</v>
      </c>
      <c r="CP90" s="329" t="s">
        <v>934</v>
      </c>
      <c r="CQ90" s="330">
        <v>0</v>
      </c>
      <c r="CR90" s="330">
        <v>0</v>
      </c>
      <c r="CS90" s="330">
        <v>0</v>
      </c>
      <c r="CT90" s="330">
        <v>0</v>
      </c>
      <c r="CU90" s="330">
        <v>0</v>
      </c>
      <c r="CV90" s="330">
        <v>0</v>
      </c>
      <c r="CW90" s="330">
        <v>0</v>
      </c>
      <c r="CX90" s="330">
        <v>0</v>
      </c>
      <c r="CY90" s="328">
        <v>0</v>
      </c>
      <c r="CZ90" s="322" t="s">
        <v>934</v>
      </c>
      <c r="DA90" s="323">
        <v>1508</v>
      </c>
      <c r="DB90" s="323">
        <v>282</v>
      </c>
      <c r="DC90" s="323">
        <v>261</v>
      </c>
      <c r="DD90" s="323">
        <v>80</v>
      </c>
      <c r="DE90" s="323">
        <v>44</v>
      </c>
      <c r="DF90" s="323">
        <v>23</v>
      </c>
      <c r="DG90" s="323">
        <v>11</v>
      </c>
      <c r="DH90" s="323">
        <v>1</v>
      </c>
      <c r="DI90" s="323">
        <v>2210</v>
      </c>
      <c r="DJ90" s="337">
        <v>0</v>
      </c>
      <c r="DK90" s="644">
        <v>70236.7</v>
      </c>
      <c r="DL90" s="616">
        <v>54456</v>
      </c>
      <c r="DM90" s="616">
        <v>19003</v>
      </c>
      <c r="DN90" s="616">
        <v>15335</v>
      </c>
      <c r="DO90" s="616">
        <v>8074</v>
      </c>
      <c r="DP90" s="616">
        <v>4063</v>
      </c>
      <c r="DQ90" s="616">
        <v>2128</v>
      </c>
      <c r="DR90" s="616">
        <v>612</v>
      </c>
      <c r="DS90" s="617">
        <v>41</v>
      </c>
      <c r="DT90" s="607">
        <f t="shared" si="1"/>
        <v>103712</v>
      </c>
      <c r="DU90" s="342"/>
      <c r="EC90" s="646"/>
      <c r="EF90" s="125"/>
      <c r="EG90" s="124"/>
    </row>
    <row r="91" spans="1:137" ht="15">
      <c r="A91" s="22">
        <v>83</v>
      </c>
      <c r="B91" s="23" t="s">
        <v>296</v>
      </c>
      <c r="C91" s="24" t="s">
        <v>297</v>
      </c>
      <c r="D91" s="613"/>
      <c r="E91" s="629">
        <v>3350</v>
      </c>
      <c r="F91" s="629">
        <v>6632</v>
      </c>
      <c r="G91" s="629">
        <v>6944</v>
      </c>
      <c r="H91" s="629">
        <v>5344</v>
      </c>
      <c r="I91" s="629">
        <v>4583</v>
      </c>
      <c r="J91" s="629">
        <v>2875</v>
      </c>
      <c r="K91" s="629">
        <v>2078</v>
      </c>
      <c r="L91" s="629">
        <v>128</v>
      </c>
      <c r="M91" s="627">
        <v>31934</v>
      </c>
      <c r="N91" s="322"/>
      <c r="O91" s="323">
        <v>208</v>
      </c>
      <c r="P91" s="323">
        <v>196</v>
      </c>
      <c r="Q91" s="323">
        <v>191</v>
      </c>
      <c r="R91" s="323">
        <v>112</v>
      </c>
      <c r="S91" s="323">
        <v>101</v>
      </c>
      <c r="T91" s="323">
        <v>48</v>
      </c>
      <c r="U91" s="323">
        <v>39</v>
      </c>
      <c r="V91" s="323">
        <v>7</v>
      </c>
      <c r="W91" s="323">
        <v>902</v>
      </c>
      <c r="X91" s="329" t="s">
        <v>934</v>
      </c>
      <c r="Y91" s="330">
        <v>0</v>
      </c>
      <c r="Z91" s="330">
        <v>0</v>
      </c>
      <c r="AA91" s="330">
        <v>0</v>
      </c>
      <c r="AB91" s="330">
        <v>0</v>
      </c>
      <c r="AC91" s="330">
        <v>0</v>
      </c>
      <c r="AD91" s="330">
        <v>0</v>
      </c>
      <c r="AE91" s="330">
        <v>0</v>
      </c>
      <c r="AF91" s="330">
        <v>0</v>
      </c>
      <c r="AG91" s="328">
        <v>0</v>
      </c>
      <c r="AH91" s="329" t="s">
        <v>934</v>
      </c>
      <c r="AI91" s="184">
        <v>5</v>
      </c>
      <c r="AJ91" s="184">
        <v>24</v>
      </c>
      <c r="AK91" s="184">
        <v>37</v>
      </c>
      <c r="AL91" s="184">
        <v>38</v>
      </c>
      <c r="AM91" s="184">
        <v>34</v>
      </c>
      <c r="AN91" s="184">
        <v>20</v>
      </c>
      <c r="AO91" s="184">
        <v>20</v>
      </c>
      <c r="AP91" s="184">
        <v>19</v>
      </c>
      <c r="AQ91" s="336">
        <v>197</v>
      </c>
      <c r="AR91" s="323">
        <v>1</v>
      </c>
      <c r="AS91" s="323">
        <v>1786</v>
      </c>
      <c r="AT91" s="323">
        <v>2532</v>
      </c>
      <c r="AU91" s="323">
        <v>2137</v>
      </c>
      <c r="AV91" s="323">
        <v>1366</v>
      </c>
      <c r="AW91" s="323">
        <v>941</v>
      </c>
      <c r="AX91" s="323">
        <v>457</v>
      </c>
      <c r="AY91" s="323">
        <v>257</v>
      </c>
      <c r="AZ91" s="323">
        <v>4</v>
      </c>
      <c r="BA91" s="323">
        <v>9481</v>
      </c>
      <c r="BB91" s="331">
        <v>1</v>
      </c>
      <c r="BC91" s="330">
        <v>17</v>
      </c>
      <c r="BD91" s="330">
        <v>30</v>
      </c>
      <c r="BE91" s="330">
        <v>46</v>
      </c>
      <c r="BF91" s="330">
        <v>32</v>
      </c>
      <c r="BG91" s="330">
        <v>27</v>
      </c>
      <c r="BH91" s="330">
        <v>19</v>
      </c>
      <c r="BI91" s="330">
        <v>11</v>
      </c>
      <c r="BJ91" s="330">
        <v>0</v>
      </c>
      <c r="BK91" s="328">
        <v>183</v>
      </c>
      <c r="BL91" s="323">
        <v>0</v>
      </c>
      <c r="BM91" s="323">
        <v>1</v>
      </c>
      <c r="BN91" s="323">
        <v>1</v>
      </c>
      <c r="BO91" s="323">
        <v>4</v>
      </c>
      <c r="BP91" s="323">
        <v>7</v>
      </c>
      <c r="BQ91" s="323">
        <v>2</v>
      </c>
      <c r="BR91" s="323">
        <v>7</v>
      </c>
      <c r="BS91" s="323">
        <v>18</v>
      </c>
      <c r="BT91" s="323">
        <v>1</v>
      </c>
      <c r="BU91" s="323">
        <v>41</v>
      </c>
      <c r="BV91" s="329" t="s">
        <v>934</v>
      </c>
      <c r="BW91" s="330">
        <v>123</v>
      </c>
      <c r="BX91" s="330">
        <v>200</v>
      </c>
      <c r="BY91" s="330">
        <v>286</v>
      </c>
      <c r="BZ91" s="330">
        <v>162</v>
      </c>
      <c r="CA91" s="330">
        <v>107</v>
      </c>
      <c r="CB91" s="330">
        <v>52</v>
      </c>
      <c r="CC91" s="330">
        <v>40</v>
      </c>
      <c r="CD91" s="330">
        <v>6</v>
      </c>
      <c r="CE91" s="328">
        <v>976</v>
      </c>
      <c r="CF91" s="322" t="s">
        <v>934</v>
      </c>
      <c r="CG91" s="323">
        <v>0</v>
      </c>
      <c r="CH91" s="323">
        <v>0</v>
      </c>
      <c r="CI91" s="323">
        <v>0</v>
      </c>
      <c r="CJ91" s="323">
        <v>0</v>
      </c>
      <c r="CK91" s="323">
        <v>0</v>
      </c>
      <c r="CL91" s="323">
        <v>0</v>
      </c>
      <c r="CM91" s="323">
        <v>0</v>
      </c>
      <c r="CN91" s="323">
        <v>0</v>
      </c>
      <c r="CO91" s="323">
        <v>0</v>
      </c>
      <c r="CP91" s="329" t="s">
        <v>934</v>
      </c>
      <c r="CQ91" s="330">
        <v>118</v>
      </c>
      <c r="CR91" s="330">
        <v>139</v>
      </c>
      <c r="CS91" s="330">
        <v>115</v>
      </c>
      <c r="CT91" s="330">
        <v>86</v>
      </c>
      <c r="CU91" s="330">
        <v>63</v>
      </c>
      <c r="CV91" s="330">
        <v>24</v>
      </c>
      <c r="CW91" s="330">
        <v>22</v>
      </c>
      <c r="CX91" s="330">
        <v>3</v>
      </c>
      <c r="CY91" s="328">
        <v>570</v>
      </c>
      <c r="CZ91" s="322" t="s">
        <v>934</v>
      </c>
      <c r="DA91" s="323">
        <v>0</v>
      </c>
      <c r="DB91" s="323">
        <v>0</v>
      </c>
      <c r="DC91" s="323">
        <v>0</v>
      </c>
      <c r="DD91" s="323">
        <v>0</v>
      </c>
      <c r="DE91" s="323">
        <v>0</v>
      </c>
      <c r="DF91" s="323">
        <v>0</v>
      </c>
      <c r="DG91" s="323">
        <v>0</v>
      </c>
      <c r="DH91" s="323">
        <v>0</v>
      </c>
      <c r="DI91" s="323">
        <v>0</v>
      </c>
      <c r="DJ91" s="337">
        <v>0</v>
      </c>
      <c r="DK91" s="644">
        <v>28790.3</v>
      </c>
      <c r="DL91" s="616">
        <v>3366</v>
      </c>
      <c r="DM91" s="616">
        <v>6678</v>
      </c>
      <c r="DN91" s="616">
        <v>7023</v>
      </c>
      <c r="DO91" s="616">
        <v>5382</v>
      </c>
      <c r="DP91" s="616">
        <v>4631</v>
      </c>
      <c r="DQ91" s="616">
        <v>2890</v>
      </c>
      <c r="DR91" s="616">
        <v>2066</v>
      </c>
      <c r="DS91" s="617">
        <v>127</v>
      </c>
      <c r="DT91" s="607">
        <f t="shared" si="1"/>
        <v>32163</v>
      </c>
      <c r="DU91" s="342"/>
      <c r="EC91" s="646"/>
      <c r="EF91" s="125"/>
      <c r="EG91" s="124"/>
    </row>
    <row r="92" spans="1:137" ht="15">
      <c r="A92" s="22">
        <v>84</v>
      </c>
      <c r="B92" s="23" t="s">
        <v>298</v>
      </c>
      <c r="C92" s="24" t="s">
        <v>299</v>
      </c>
      <c r="D92" s="613"/>
      <c r="E92" s="629">
        <v>27627</v>
      </c>
      <c r="F92" s="629">
        <v>4025</v>
      </c>
      <c r="G92" s="629">
        <v>3954</v>
      </c>
      <c r="H92" s="629">
        <v>2544</v>
      </c>
      <c r="I92" s="629">
        <v>1303</v>
      </c>
      <c r="J92" s="629">
        <v>511</v>
      </c>
      <c r="K92" s="629">
        <v>380</v>
      </c>
      <c r="L92" s="629">
        <v>36</v>
      </c>
      <c r="M92" s="627">
        <v>40380</v>
      </c>
      <c r="N92" s="322"/>
      <c r="O92" s="323">
        <v>849</v>
      </c>
      <c r="P92" s="323">
        <v>95</v>
      </c>
      <c r="Q92" s="323">
        <v>65</v>
      </c>
      <c r="R92" s="323">
        <v>38</v>
      </c>
      <c r="S92" s="323">
        <v>12</v>
      </c>
      <c r="T92" s="323">
        <v>8</v>
      </c>
      <c r="U92" s="323">
        <v>5</v>
      </c>
      <c r="V92" s="323">
        <v>0</v>
      </c>
      <c r="W92" s="323">
        <v>1072</v>
      </c>
      <c r="X92" s="329" t="s">
        <v>934</v>
      </c>
      <c r="Y92" s="330">
        <v>0</v>
      </c>
      <c r="Z92" s="330">
        <v>0</v>
      </c>
      <c r="AA92" s="330">
        <v>0</v>
      </c>
      <c r="AB92" s="330">
        <v>0</v>
      </c>
      <c r="AC92" s="330">
        <v>0</v>
      </c>
      <c r="AD92" s="330">
        <v>0</v>
      </c>
      <c r="AE92" s="330">
        <v>0</v>
      </c>
      <c r="AF92" s="330">
        <v>0</v>
      </c>
      <c r="AG92" s="328">
        <v>0</v>
      </c>
      <c r="AH92" s="329" t="s">
        <v>934</v>
      </c>
      <c r="AI92" s="184">
        <v>60</v>
      </c>
      <c r="AJ92" s="184">
        <v>33</v>
      </c>
      <c r="AK92" s="184">
        <v>19</v>
      </c>
      <c r="AL92" s="184">
        <v>16</v>
      </c>
      <c r="AM92" s="184">
        <v>9</v>
      </c>
      <c r="AN92" s="184">
        <v>9</v>
      </c>
      <c r="AO92" s="184">
        <v>12</v>
      </c>
      <c r="AP92" s="184">
        <v>17</v>
      </c>
      <c r="AQ92" s="336">
        <v>175</v>
      </c>
      <c r="AR92" s="323">
        <v>10</v>
      </c>
      <c r="AS92" s="323">
        <v>11511</v>
      </c>
      <c r="AT92" s="323">
        <v>1146</v>
      </c>
      <c r="AU92" s="323">
        <v>835</v>
      </c>
      <c r="AV92" s="323">
        <v>415</v>
      </c>
      <c r="AW92" s="323">
        <v>178</v>
      </c>
      <c r="AX92" s="323">
        <v>58</v>
      </c>
      <c r="AY92" s="323">
        <v>43</v>
      </c>
      <c r="AZ92" s="323">
        <v>3</v>
      </c>
      <c r="BA92" s="323">
        <v>14199</v>
      </c>
      <c r="BB92" s="331">
        <v>3</v>
      </c>
      <c r="BC92" s="330">
        <v>261</v>
      </c>
      <c r="BD92" s="330">
        <v>25</v>
      </c>
      <c r="BE92" s="330">
        <v>40</v>
      </c>
      <c r="BF92" s="330">
        <v>22</v>
      </c>
      <c r="BG92" s="330">
        <v>12</v>
      </c>
      <c r="BH92" s="330">
        <v>4</v>
      </c>
      <c r="BI92" s="330">
        <v>4</v>
      </c>
      <c r="BJ92" s="330">
        <v>0</v>
      </c>
      <c r="BK92" s="328">
        <v>371</v>
      </c>
      <c r="BL92" s="323">
        <v>1</v>
      </c>
      <c r="BM92" s="323">
        <v>30</v>
      </c>
      <c r="BN92" s="323">
        <v>4</v>
      </c>
      <c r="BO92" s="323">
        <v>12</v>
      </c>
      <c r="BP92" s="323">
        <v>2</v>
      </c>
      <c r="BQ92" s="323">
        <v>4</v>
      </c>
      <c r="BR92" s="323">
        <v>11</v>
      </c>
      <c r="BS92" s="323">
        <v>19</v>
      </c>
      <c r="BT92" s="323">
        <v>1</v>
      </c>
      <c r="BU92" s="323">
        <v>84</v>
      </c>
      <c r="BV92" s="329" t="s">
        <v>934</v>
      </c>
      <c r="BW92" s="330">
        <v>13</v>
      </c>
      <c r="BX92" s="330">
        <v>6</v>
      </c>
      <c r="BY92" s="330">
        <v>10</v>
      </c>
      <c r="BZ92" s="330">
        <v>3</v>
      </c>
      <c r="CA92" s="330">
        <v>1</v>
      </c>
      <c r="CB92" s="330">
        <v>1</v>
      </c>
      <c r="CC92" s="330">
        <v>3</v>
      </c>
      <c r="CD92" s="330">
        <v>0</v>
      </c>
      <c r="CE92" s="328">
        <v>37</v>
      </c>
      <c r="CF92" s="322" t="s">
        <v>934</v>
      </c>
      <c r="CG92" s="323">
        <v>609</v>
      </c>
      <c r="CH92" s="323">
        <v>94</v>
      </c>
      <c r="CI92" s="323">
        <v>65</v>
      </c>
      <c r="CJ92" s="323">
        <v>26</v>
      </c>
      <c r="CK92" s="323">
        <v>19</v>
      </c>
      <c r="CL92" s="323">
        <v>7</v>
      </c>
      <c r="CM92" s="323">
        <v>7</v>
      </c>
      <c r="CN92" s="323">
        <v>2</v>
      </c>
      <c r="CO92" s="323">
        <v>829</v>
      </c>
      <c r="CP92" s="329" t="s">
        <v>934</v>
      </c>
      <c r="CQ92" s="330">
        <v>0</v>
      </c>
      <c r="CR92" s="330">
        <v>0</v>
      </c>
      <c r="CS92" s="330">
        <v>0</v>
      </c>
      <c r="CT92" s="330">
        <v>0</v>
      </c>
      <c r="CU92" s="330">
        <v>0</v>
      </c>
      <c r="CV92" s="330">
        <v>0</v>
      </c>
      <c r="CW92" s="330">
        <v>0</v>
      </c>
      <c r="CX92" s="330">
        <v>0</v>
      </c>
      <c r="CY92" s="328">
        <v>0</v>
      </c>
      <c r="CZ92" s="322" t="s">
        <v>934</v>
      </c>
      <c r="DA92" s="323">
        <v>0</v>
      </c>
      <c r="DB92" s="323">
        <v>0</v>
      </c>
      <c r="DC92" s="323">
        <v>0</v>
      </c>
      <c r="DD92" s="323">
        <v>0</v>
      </c>
      <c r="DE92" s="323">
        <v>0</v>
      </c>
      <c r="DF92" s="323">
        <v>0</v>
      </c>
      <c r="DG92" s="323">
        <v>0</v>
      </c>
      <c r="DH92" s="323">
        <v>0</v>
      </c>
      <c r="DI92" s="323">
        <v>0</v>
      </c>
      <c r="DJ92" s="337">
        <v>0</v>
      </c>
      <c r="DK92" s="644">
        <v>26882.1</v>
      </c>
      <c r="DL92" s="616">
        <v>27631</v>
      </c>
      <c r="DM92" s="616">
        <v>4184</v>
      </c>
      <c r="DN92" s="616">
        <v>4136</v>
      </c>
      <c r="DO92" s="616">
        <v>2677</v>
      </c>
      <c r="DP92" s="616">
        <v>1363</v>
      </c>
      <c r="DQ92" s="616">
        <v>530</v>
      </c>
      <c r="DR92" s="616">
        <v>387</v>
      </c>
      <c r="DS92" s="617">
        <v>36</v>
      </c>
      <c r="DT92" s="607">
        <f t="shared" si="1"/>
        <v>40944</v>
      </c>
      <c r="DU92" s="342"/>
      <c r="EC92" s="646"/>
      <c r="EF92" s="125"/>
      <c r="EG92" s="124"/>
    </row>
    <row r="93" spans="1:137" ht="15">
      <c r="A93" s="22">
        <v>85</v>
      </c>
      <c r="B93" s="23" t="s">
        <v>300</v>
      </c>
      <c r="C93" s="24" t="s">
        <v>301</v>
      </c>
      <c r="D93" s="613"/>
      <c r="E93" s="626">
        <v>78179</v>
      </c>
      <c r="F93" s="626">
        <v>22528</v>
      </c>
      <c r="G93" s="626">
        <v>13627</v>
      </c>
      <c r="H93" s="626">
        <v>8256</v>
      </c>
      <c r="I93" s="626">
        <v>3927</v>
      </c>
      <c r="J93" s="626">
        <v>1581</v>
      </c>
      <c r="K93" s="626">
        <v>676</v>
      </c>
      <c r="L93" s="626">
        <v>104</v>
      </c>
      <c r="M93" s="627">
        <v>128878</v>
      </c>
      <c r="N93" s="322"/>
      <c r="O93" s="323">
        <v>2738</v>
      </c>
      <c r="P93" s="323">
        <v>528</v>
      </c>
      <c r="Q93" s="323">
        <v>351</v>
      </c>
      <c r="R93" s="323">
        <v>146</v>
      </c>
      <c r="S93" s="323">
        <v>74</v>
      </c>
      <c r="T93" s="323">
        <v>47</v>
      </c>
      <c r="U93" s="323">
        <v>13</v>
      </c>
      <c r="V93" s="323">
        <v>13</v>
      </c>
      <c r="W93" s="323">
        <v>3910</v>
      </c>
      <c r="X93" s="329" t="s">
        <v>934</v>
      </c>
      <c r="Y93" s="330">
        <v>0</v>
      </c>
      <c r="Z93" s="330">
        <v>0</v>
      </c>
      <c r="AA93" s="330">
        <v>0</v>
      </c>
      <c r="AB93" s="330">
        <v>0</v>
      </c>
      <c r="AC93" s="330">
        <v>0</v>
      </c>
      <c r="AD93" s="330">
        <v>0</v>
      </c>
      <c r="AE93" s="330">
        <v>0</v>
      </c>
      <c r="AF93" s="330">
        <v>0</v>
      </c>
      <c r="AG93" s="328">
        <v>0</v>
      </c>
      <c r="AH93" s="329" t="s">
        <v>934</v>
      </c>
      <c r="AI93" s="184">
        <v>253</v>
      </c>
      <c r="AJ93" s="184">
        <v>140</v>
      </c>
      <c r="AK93" s="184">
        <v>112</v>
      </c>
      <c r="AL93" s="184">
        <v>70</v>
      </c>
      <c r="AM93" s="184">
        <v>49</v>
      </c>
      <c r="AN93" s="184">
        <v>19</v>
      </c>
      <c r="AO93" s="184">
        <v>21</v>
      </c>
      <c r="AP93" s="184">
        <v>39</v>
      </c>
      <c r="AQ93" s="336">
        <v>703</v>
      </c>
      <c r="AR93" s="323">
        <v>46</v>
      </c>
      <c r="AS93" s="323">
        <v>31800</v>
      </c>
      <c r="AT93" s="323">
        <v>6146</v>
      </c>
      <c r="AU93" s="323">
        <v>3061</v>
      </c>
      <c r="AV93" s="323">
        <v>1371</v>
      </c>
      <c r="AW93" s="323">
        <v>581</v>
      </c>
      <c r="AX93" s="323">
        <v>183</v>
      </c>
      <c r="AY93" s="323">
        <v>69</v>
      </c>
      <c r="AZ93" s="323">
        <v>4</v>
      </c>
      <c r="BA93" s="323">
        <v>43261</v>
      </c>
      <c r="BB93" s="331">
        <v>5</v>
      </c>
      <c r="BC93" s="330">
        <v>414</v>
      </c>
      <c r="BD93" s="330">
        <v>135</v>
      </c>
      <c r="BE93" s="330">
        <v>84</v>
      </c>
      <c r="BF93" s="330">
        <v>48</v>
      </c>
      <c r="BG93" s="330">
        <v>15</v>
      </c>
      <c r="BH93" s="330">
        <v>8</v>
      </c>
      <c r="BI93" s="330">
        <v>3</v>
      </c>
      <c r="BJ93" s="330">
        <v>0</v>
      </c>
      <c r="BK93" s="328">
        <v>712</v>
      </c>
      <c r="BL93" s="323">
        <v>3</v>
      </c>
      <c r="BM93" s="323">
        <v>103</v>
      </c>
      <c r="BN93" s="323">
        <v>44</v>
      </c>
      <c r="BO93" s="323">
        <v>30</v>
      </c>
      <c r="BP93" s="323">
        <v>35</v>
      </c>
      <c r="BQ93" s="323">
        <v>14</v>
      </c>
      <c r="BR93" s="323">
        <v>14</v>
      </c>
      <c r="BS93" s="323">
        <v>45</v>
      </c>
      <c r="BT93" s="323">
        <v>8</v>
      </c>
      <c r="BU93" s="323">
        <v>296</v>
      </c>
      <c r="BV93" s="329" t="s">
        <v>934</v>
      </c>
      <c r="BW93" s="330">
        <v>323</v>
      </c>
      <c r="BX93" s="330">
        <v>107</v>
      </c>
      <c r="BY93" s="330">
        <v>102</v>
      </c>
      <c r="BZ93" s="330">
        <v>35</v>
      </c>
      <c r="CA93" s="330">
        <v>14</v>
      </c>
      <c r="CB93" s="330">
        <v>10</v>
      </c>
      <c r="CC93" s="330">
        <v>2</v>
      </c>
      <c r="CD93" s="330">
        <v>5</v>
      </c>
      <c r="CE93" s="328">
        <v>598</v>
      </c>
      <c r="CF93" s="322" t="s">
        <v>934</v>
      </c>
      <c r="CG93" s="323">
        <v>1804</v>
      </c>
      <c r="CH93" s="323">
        <v>286</v>
      </c>
      <c r="CI93" s="323">
        <v>204</v>
      </c>
      <c r="CJ93" s="323">
        <v>104</v>
      </c>
      <c r="CK93" s="323">
        <v>51</v>
      </c>
      <c r="CL93" s="323">
        <v>22</v>
      </c>
      <c r="CM93" s="323">
        <v>14</v>
      </c>
      <c r="CN93" s="323">
        <v>5</v>
      </c>
      <c r="CO93" s="323">
        <v>2490</v>
      </c>
      <c r="CP93" s="329" t="s">
        <v>934</v>
      </c>
      <c r="CQ93" s="330">
        <v>0</v>
      </c>
      <c r="CR93" s="330">
        <v>0</v>
      </c>
      <c r="CS93" s="330">
        <v>0</v>
      </c>
      <c r="CT93" s="330">
        <v>0</v>
      </c>
      <c r="CU93" s="330">
        <v>0</v>
      </c>
      <c r="CV93" s="330">
        <v>0</v>
      </c>
      <c r="CW93" s="330">
        <v>0</v>
      </c>
      <c r="CX93" s="330">
        <v>0</v>
      </c>
      <c r="CY93" s="328">
        <v>0</v>
      </c>
      <c r="CZ93" s="322" t="s">
        <v>934</v>
      </c>
      <c r="DA93" s="323">
        <v>0</v>
      </c>
      <c r="DB93" s="323">
        <v>0</v>
      </c>
      <c r="DC93" s="323">
        <v>0</v>
      </c>
      <c r="DD93" s="323">
        <v>0</v>
      </c>
      <c r="DE93" s="323">
        <v>0</v>
      </c>
      <c r="DF93" s="323">
        <v>0</v>
      </c>
      <c r="DG93" s="323">
        <v>0</v>
      </c>
      <c r="DH93" s="323">
        <v>0</v>
      </c>
      <c r="DI93" s="323">
        <v>0</v>
      </c>
      <c r="DJ93" s="337">
        <v>0</v>
      </c>
      <c r="DK93" s="644">
        <v>86196.5</v>
      </c>
      <c r="DL93" s="614">
        <v>78182</v>
      </c>
      <c r="DM93" s="614">
        <v>22677</v>
      </c>
      <c r="DN93" s="614">
        <v>13795</v>
      </c>
      <c r="DO93" s="614">
        <v>8275</v>
      </c>
      <c r="DP93" s="614">
        <v>3955</v>
      </c>
      <c r="DQ93" s="614">
        <v>1610</v>
      </c>
      <c r="DR93" s="614">
        <v>687</v>
      </c>
      <c r="DS93" s="615">
        <v>105</v>
      </c>
      <c r="DT93" s="607">
        <f t="shared" si="1"/>
        <v>129286</v>
      </c>
      <c r="DU93" s="342"/>
      <c r="EC93" s="646"/>
      <c r="EF93" s="123"/>
      <c r="EG93" s="124"/>
    </row>
    <row r="94" spans="1:137" ht="15">
      <c r="A94" s="22">
        <v>86</v>
      </c>
      <c r="B94" s="23" t="s">
        <v>302</v>
      </c>
      <c r="C94" s="24" t="s">
        <v>303</v>
      </c>
      <c r="D94" s="613"/>
      <c r="E94" s="626">
        <v>6302</v>
      </c>
      <c r="F94" s="626">
        <v>15642</v>
      </c>
      <c r="G94" s="626">
        <v>12916</v>
      </c>
      <c r="H94" s="626">
        <v>6448</v>
      </c>
      <c r="I94" s="626">
        <v>3962</v>
      </c>
      <c r="J94" s="626">
        <v>2131</v>
      </c>
      <c r="K94" s="626">
        <v>1403</v>
      </c>
      <c r="L94" s="626">
        <v>66</v>
      </c>
      <c r="M94" s="627">
        <v>48870</v>
      </c>
      <c r="N94" s="322"/>
      <c r="O94" s="323">
        <v>323</v>
      </c>
      <c r="P94" s="323">
        <v>432</v>
      </c>
      <c r="Q94" s="323">
        <v>456</v>
      </c>
      <c r="R94" s="323">
        <v>113</v>
      </c>
      <c r="S94" s="323">
        <v>69</v>
      </c>
      <c r="T94" s="323">
        <v>34</v>
      </c>
      <c r="U94" s="323">
        <v>29</v>
      </c>
      <c r="V94" s="323">
        <v>2</v>
      </c>
      <c r="W94" s="323">
        <v>1458</v>
      </c>
      <c r="X94" s="329" t="s">
        <v>934</v>
      </c>
      <c r="Y94" s="330">
        <v>0</v>
      </c>
      <c r="Z94" s="330">
        <v>0</v>
      </c>
      <c r="AA94" s="330">
        <v>0</v>
      </c>
      <c r="AB94" s="330">
        <v>0</v>
      </c>
      <c r="AC94" s="330">
        <v>0</v>
      </c>
      <c r="AD94" s="330">
        <v>0</v>
      </c>
      <c r="AE94" s="330">
        <v>0</v>
      </c>
      <c r="AF94" s="330">
        <v>0</v>
      </c>
      <c r="AG94" s="328">
        <v>0</v>
      </c>
      <c r="AH94" s="329" t="s">
        <v>934</v>
      </c>
      <c r="AI94" s="184">
        <v>8</v>
      </c>
      <c r="AJ94" s="184">
        <v>80</v>
      </c>
      <c r="AK94" s="184">
        <v>73</v>
      </c>
      <c r="AL94" s="184">
        <v>62</v>
      </c>
      <c r="AM94" s="184">
        <v>45</v>
      </c>
      <c r="AN94" s="184">
        <v>20</v>
      </c>
      <c r="AO94" s="184">
        <v>50</v>
      </c>
      <c r="AP94" s="184">
        <v>16</v>
      </c>
      <c r="AQ94" s="336">
        <v>354</v>
      </c>
      <c r="AR94" s="323">
        <v>1</v>
      </c>
      <c r="AS94" s="323">
        <v>3240</v>
      </c>
      <c r="AT94" s="323">
        <v>5518</v>
      </c>
      <c r="AU94" s="323">
        <v>3680</v>
      </c>
      <c r="AV94" s="323">
        <v>1571</v>
      </c>
      <c r="AW94" s="323">
        <v>736</v>
      </c>
      <c r="AX94" s="323">
        <v>308</v>
      </c>
      <c r="AY94" s="323">
        <v>147</v>
      </c>
      <c r="AZ94" s="323">
        <v>1</v>
      </c>
      <c r="BA94" s="323">
        <v>15202</v>
      </c>
      <c r="BB94" s="331">
        <v>0</v>
      </c>
      <c r="BC94" s="330">
        <v>21</v>
      </c>
      <c r="BD94" s="330">
        <v>90</v>
      </c>
      <c r="BE94" s="330">
        <v>92</v>
      </c>
      <c r="BF94" s="330">
        <v>39</v>
      </c>
      <c r="BG94" s="330">
        <v>22</v>
      </c>
      <c r="BH94" s="330">
        <v>10</v>
      </c>
      <c r="BI94" s="330">
        <v>3</v>
      </c>
      <c r="BJ94" s="330">
        <v>0</v>
      </c>
      <c r="BK94" s="328">
        <v>277</v>
      </c>
      <c r="BL94" s="323">
        <v>0</v>
      </c>
      <c r="BM94" s="323">
        <v>4</v>
      </c>
      <c r="BN94" s="323">
        <v>10</v>
      </c>
      <c r="BO94" s="323">
        <v>9</v>
      </c>
      <c r="BP94" s="323">
        <v>6</v>
      </c>
      <c r="BQ94" s="323">
        <v>12</v>
      </c>
      <c r="BR94" s="323">
        <v>42</v>
      </c>
      <c r="BS94" s="323">
        <v>28</v>
      </c>
      <c r="BT94" s="323">
        <v>4</v>
      </c>
      <c r="BU94" s="323">
        <v>115</v>
      </c>
      <c r="BV94" s="329" t="s">
        <v>934</v>
      </c>
      <c r="BW94" s="330">
        <v>281</v>
      </c>
      <c r="BX94" s="330">
        <v>211</v>
      </c>
      <c r="BY94" s="330">
        <v>241</v>
      </c>
      <c r="BZ94" s="330">
        <v>185</v>
      </c>
      <c r="CA94" s="330">
        <v>117</v>
      </c>
      <c r="CB94" s="330">
        <v>60</v>
      </c>
      <c r="CC94" s="330">
        <v>60</v>
      </c>
      <c r="CD94" s="330">
        <v>9</v>
      </c>
      <c r="CE94" s="328">
        <v>1164</v>
      </c>
      <c r="CF94" s="322" t="s">
        <v>934</v>
      </c>
      <c r="CG94" s="323">
        <v>0</v>
      </c>
      <c r="CH94" s="323">
        <v>0</v>
      </c>
      <c r="CI94" s="323">
        <v>0</v>
      </c>
      <c r="CJ94" s="323">
        <v>0</v>
      </c>
      <c r="CK94" s="323">
        <v>0</v>
      </c>
      <c r="CL94" s="323">
        <v>0</v>
      </c>
      <c r="CM94" s="323">
        <v>0</v>
      </c>
      <c r="CN94" s="323">
        <v>0</v>
      </c>
      <c r="CO94" s="323">
        <v>0</v>
      </c>
      <c r="CP94" s="329" t="s">
        <v>934</v>
      </c>
      <c r="CQ94" s="330">
        <v>251</v>
      </c>
      <c r="CR94" s="330">
        <v>215</v>
      </c>
      <c r="CS94" s="330">
        <v>143</v>
      </c>
      <c r="CT94" s="330">
        <v>66</v>
      </c>
      <c r="CU94" s="330">
        <v>27</v>
      </c>
      <c r="CV94" s="330">
        <v>21</v>
      </c>
      <c r="CW94" s="330">
        <v>20</v>
      </c>
      <c r="CX94" s="330">
        <v>0</v>
      </c>
      <c r="CY94" s="328">
        <v>743</v>
      </c>
      <c r="CZ94" s="322" t="s">
        <v>934</v>
      </c>
      <c r="DA94" s="323">
        <v>0</v>
      </c>
      <c r="DB94" s="323">
        <v>0</v>
      </c>
      <c r="DC94" s="323">
        <v>0</v>
      </c>
      <c r="DD94" s="323">
        <v>0</v>
      </c>
      <c r="DE94" s="323">
        <v>0</v>
      </c>
      <c r="DF94" s="323">
        <v>0</v>
      </c>
      <c r="DG94" s="323">
        <v>0</v>
      </c>
      <c r="DH94" s="323">
        <v>0</v>
      </c>
      <c r="DI94" s="323">
        <v>0</v>
      </c>
      <c r="DJ94" s="337">
        <v>180</v>
      </c>
      <c r="DK94" s="644">
        <v>39645.3</v>
      </c>
      <c r="DL94" s="614">
        <v>6426</v>
      </c>
      <c r="DM94" s="614">
        <v>15699</v>
      </c>
      <c r="DN94" s="614">
        <v>12987</v>
      </c>
      <c r="DO94" s="614">
        <v>6493</v>
      </c>
      <c r="DP94" s="614">
        <v>3976</v>
      </c>
      <c r="DQ94" s="614">
        <v>2150</v>
      </c>
      <c r="DR94" s="614">
        <v>1410</v>
      </c>
      <c r="DS94" s="615">
        <v>68</v>
      </c>
      <c r="DT94" s="607">
        <f t="shared" si="1"/>
        <v>49209</v>
      </c>
      <c r="DU94" s="342"/>
      <c r="EC94" s="646"/>
      <c r="EF94" s="123"/>
      <c r="EG94" s="124"/>
    </row>
    <row r="95" spans="1:137" ht="15">
      <c r="A95" s="22">
        <v>87</v>
      </c>
      <c r="B95" s="23" t="s">
        <v>304</v>
      </c>
      <c r="C95" s="24" t="s">
        <v>305</v>
      </c>
      <c r="D95" s="613"/>
      <c r="E95" s="628">
        <v>41206</v>
      </c>
      <c r="F95" s="628">
        <v>36415</v>
      </c>
      <c r="G95" s="628">
        <v>28301</v>
      </c>
      <c r="H95" s="628">
        <v>15516</v>
      </c>
      <c r="I95" s="628">
        <v>6219</v>
      </c>
      <c r="J95" s="628">
        <v>2235</v>
      </c>
      <c r="K95" s="628">
        <v>967</v>
      </c>
      <c r="L95" s="628">
        <v>120</v>
      </c>
      <c r="M95" s="627">
        <v>130979</v>
      </c>
      <c r="N95" s="322"/>
      <c r="O95" s="323">
        <v>1153</v>
      </c>
      <c r="P95" s="323">
        <v>642</v>
      </c>
      <c r="Q95" s="323">
        <v>406</v>
      </c>
      <c r="R95" s="323">
        <v>205</v>
      </c>
      <c r="S95" s="323">
        <v>69</v>
      </c>
      <c r="T95" s="323">
        <v>23</v>
      </c>
      <c r="U95" s="323">
        <v>6</v>
      </c>
      <c r="V95" s="323">
        <v>3</v>
      </c>
      <c r="W95" s="323">
        <v>2507</v>
      </c>
      <c r="X95" s="329" t="s">
        <v>934</v>
      </c>
      <c r="Y95" s="330">
        <v>0</v>
      </c>
      <c r="Z95" s="330">
        <v>0</v>
      </c>
      <c r="AA95" s="330">
        <v>0</v>
      </c>
      <c r="AB95" s="330">
        <v>0</v>
      </c>
      <c r="AC95" s="330">
        <v>0</v>
      </c>
      <c r="AD95" s="330">
        <v>0</v>
      </c>
      <c r="AE95" s="330">
        <v>0</v>
      </c>
      <c r="AF95" s="330">
        <v>0</v>
      </c>
      <c r="AG95" s="328">
        <v>0</v>
      </c>
      <c r="AH95" s="329" t="s">
        <v>934</v>
      </c>
      <c r="AI95" s="184">
        <v>94</v>
      </c>
      <c r="AJ95" s="184">
        <v>204</v>
      </c>
      <c r="AK95" s="184">
        <v>172</v>
      </c>
      <c r="AL95" s="184">
        <v>122</v>
      </c>
      <c r="AM95" s="184">
        <v>59</v>
      </c>
      <c r="AN95" s="184">
        <v>31</v>
      </c>
      <c r="AO95" s="184">
        <v>34</v>
      </c>
      <c r="AP95" s="184">
        <v>17</v>
      </c>
      <c r="AQ95" s="336">
        <v>733</v>
      </c>
      <c r="AR95" s="323">
        <v>22</v>
      </c>
      <c r="AS95" s="323">
        <v>20004</v>
      </c>
      <c r="AT95" s="323">
        <v>11425</v>
      </c>
      <c r="AU95" s="323">
        <v>6769</v>
      </c>
      <c r="AV95" s="323">
        <v>2933</v>
      </c>
      <c r="AW95" s="323">
        <v>863</v>
      </c>
      <c r="AX95" s="323">
        <v>303</v>
      </c>
      <c r="AY95" s="323">
        <v>110</v>
      </c>
      <c r="AZ95" s="323">
        <v>7</v>
      </c>
      <c r="BA95" s="323">
        <v>42436</v>
      </c>
      <c r="BB95" s="331">
        <v>2</v>
      </c>
      <c r="BC95" s="330">
        <v>208</v>
      </c>
      <c r="BD95" s="330">
        <v>216</v>
      </c>
      <c r="BE95" s="330">
        <v>157</v>
      </c>
      <c r="BF95" s="330">
        <v>83</v>
      </c>
      <c r="BG95" s="330">
        <v>29</v>
      </c>
      <c r="BH95" s="330">
        <v>9</v>
      </c>
      <c r="BI95" s="330">
        <v>2</v>
      </c>
      <c r="BJ95" s="330">
        <v>1</v>
      </c>
      <c r="BK95" s="328">
        <v>707</v>
      </c>
      <c r="BL95" s="323">
        <v>2</v>
      </c>
      <c r="BM95" s="323">
        <v>15</v>
      </c>
      <c r="BN95" s="323">
        <v>28</v>
      </c>
      <c r="BO95" s="323">
        <v>21</v>
      </c>
      <c r="BP95" s="323">
        <v>12</v>
      </c>
      <c r="BQ95" s="323">
        <v>15</v>
      </c>
      <c r="BR95" s="323">
        <v>29</v>
      </c>
      <c r="BS95" s="323">
        <v>32</v>
      </c>
      <c r="BT95" s="323">
        <v>14</v>
      </c>
      <c r="BU95" s="323">
        <v>168</v>
      </c>
      <c r="BV95" s="329" t="s">
        <v>934</v>
      </c>
      <c r="BW95" s="330">
        <v>285</v>
      </c>
      <c r="BX95" s="330">
        <v>110</v>
      </c>
      <c r="BY95" s="330">
        <v>74</v>
      </c>
      <c r="BZ95" s="330">
        <v>33</v>
      </c>
      <c r="CA95" s="330">
        <v>24</v>
      </c>
      <c r="CB95" s="330">
        <v>9</v>
      </c>
      <c r="CC95" s="330">
        <v>3</v>
      </c>
      <c r="CD95" s="330">
        <v>0</v>
      </c>
      <c r="CE95" s="328">
        <v>538</v>
      </c>
      <c r="CF95" s="322" t="s">
        <v>934</v>
      </c>
      <c r="CG95" s="323">
        <v>738</v>
      </c>
      <c r="CH95" s="323">
        <v>416</v>
      </c>
      <c r="CI95" s="323">
        <v>269</v>
      </c>
      <c r="CJ95" s="323">
        <v>119</v>
      </c>
      <c r="CK95" s="323">
        <v>55</v>
      </c>
      <c r="CL95" s="323">
        <v>18</v>
      </c>
      <c r="CM95" s="323">
        <v>9</v>
      </c>
      <c r="CN95" s="323">
        <v>1</v>
      </c>
      <c r="CO95" s="323">
        <v>1625</v>
      </c>
      <c r="CP95" s="329" t="s">
        <v>934</v>
      </c>
      <c r="CQ95" s="330">
        <v>0</v>
      </c>
      <c r="CR95" s="330">
        <v>0</v>
      </c>
      <c r="CS95" s="330">
        <v>0</v>
      </c>
      <c r="CT95" s="330">
        <v>0</v>
      </c>
      <c r="CU95" s="330">
        <v>0</v>
      </c>
      <c r="CV95" s="330">
        <v>0</v>
      </c>
      <c r="CW95" s="330">
        <v>0</v>
      </c>
      <c r="CX95" s="330">
        <v>0</v>
      </c>
      <c r="CY95" s="328">
        <v>0</v>
      </c>
      <c r="CZ95" s="322" t="s">
        <v>934</v>
      </c>
      <c r="DA95" s="323">
        <v>0</v>
      </c>
      <c r="DB95" s="323">
        <v>0</v>
      </c>
      <c r="DC95" s="323">
        <v>0</v>
      </c>
      <c r="DD95" s="323">
        <v>0</v>
      </c>
      <c r="DE95" s="323">
        <v>0</v>
      </c>
      <c r="DF95" s="323">
        <v>0</v>
      </c>
      <c r="DG95" s="323">
        <v>0</v>
      </c>
      <c r="DH95" s="323">
        <v>0</v>
      </c>
      <c r="DI95" s="323">
        <v>0</v>
      </c>
      <c r="DJ95" s="337">
        <v>0</v>
      </c>
      <c r="DK95" s="644">
        <v>97760.5</v>
      </c>
      <c r="DL95" s="614">
        <v>41327</v>
      </c>
      <c r="DM95" s="614">
        <v>36762</v>
      </c>
      <c r="DN95" s="614">
        <v>28496</v>
      </c>
      <c r="DO95" s="614">
        <v>15510</v>
      </c>
      <c r="DP95" s="614">
        <v>6279</v>
      </c>
      <c r="DQ95" s="614">
        <v>2269</v>
      </c>
      <c r="DR95" s="614">
        <v>963</v>
      </c>
      <c r="DS95" s="615">
        <v>123</v>
      </c>
      <c r="DT95" s="607">
        <f t="shared" si="1"/>
        <v>131729</v>
      </c>
      <c r="DU95" s="342"/>
      <c r="EC95" s="646"/>
      <c r="EF95" s="126"/>
      <c r="EG95" s="124"/>
    </row>
    <row r="96" spans="1:137" ht="15">
      <c r="A96" s="22">
        <v>88</v>
      </c>
      <c r="B96" s="23" t="s">
        <v>306</v>
      </c>
      <c r="C96" s="24" t="s">
        <v>307</v>
      </c>
      <c r="D96" s="613"/>
      <c r="E96" s="629">
        <v>18564</v>
      </c>
      <c r="F96" s="629">
        <v>5845</v>
      </c>
      <c r="G96" s="629">
        <v>6064</v>
      </c>
      <c r="H96" s="629">
        <v>3921</v>
      </c>
      <c r="I96" s="629">
        <v>1866</v>
      </c>
      <c r="J96" s="629">
        <v>1032</v>
      </c>
      <c r="K96" s="629">
        <v>696</v>
      </c>
      <c r="L96" s="629">
        <v>86</v>
      </c>
      <c r="M96" s="627">
        <v>38074</v>
      </c>
      <c r="N96" s="322"/>
      <c r="O96" s="323">
        <v>737</v>
      </c>
      <c r="P96" s="323">
        <v>463</v>
      </c>
      <c r="Q96" s="323">
        <v>496</v>
      </c>
      <c r="R96" s="323">
        <v>417</v>
      </c>
      <c r="S96" s="323">
        <v>136</v>
      </c>
      <c r="T96" s="323">
        <v>56</v>
      </c>
      <c r="U96" s="323">
        <v>43</v>
      </c>
      <c r="V96" s="323">
        <v>41</v>
      </c>
      <c r="W96" s="323">
        <v>2389</v>
      </c>
      <c r="X96" s="329" t="s">
        <v>934</v>
      </c>
      <c r="Y96" s="330">
        <v>0</v>
      </c>
      <c r="Z96" s="330">
        <v>0</v>
      </c>
      <c r="AA96" s="330">
        <v>0</v>
      </c>
      <c r="AB96" s="330">
        <v>0</v>
      </c>
      <c r="AC96" s="330">
        <v>0</v>
      </c>
      <c r="AD96" s="330">
        <v>0</v>
      </c>
      <c r="AE96" s="330">
        <v>0</v>
      </c>
      <c r="AF96" s="330">
        <v>0</v>
      </c>
      <c r="AG96" s="328">
        <v>0</v>
      </c>
      <c r="AH96" s="329" t="s">
        <v>934</v>
      </c>
      <c r="AI96" s="184">
        <v>36</v>
      </c>
      <c r="AJ96" s="184">
        <v>23</v>
      </c>
      <c r="AK96" s="184">
        <v>30</v>
      </c>
      <c r="AL96" s="184">
        <v>16</v>
      </c>
      <c r="AM96" s="184">
        <v>16</v>
      </c>
      <c r="AN96" s="184">
        <v>5</v>
      </c>
      <c r="AO96" s="184">
        <v>8</v>
      </c>
      <c r="AP96" s="184">
        <v>9</v>
      </c>
      <c r="AQ96" s="336">
        <v>143</v>
      </c>
      <c r="AR96" s="323">
        <v>3</v>
      </c>
      <c r="AS96" s="323">
        <v>8129</v>
      </c>
      <c r="AT96" s="323">
        <v>1885</v>
      </c>
      <c r="AU96" s="323">
        <v>1406</v>
      </c>
      <c r="AV96" s="323">
        <v>667</v>
      </c>
      <c r="AW96" s="323">
        <v>284</v>
      </c>
      <c r="AX96" s="323">
        <v>146</v>
      </c>
      <c r="AY96" s="323">
        <v>78</v>
      </c>
      <c r="AZ96" s="323">
        <v>2</v>
      </c>
      <c r="BA96" s="323">
        <v>12600</v>
      </c>
      <c r="BB96" s="331">
        <v>1</v>
      </c>
      <c r="BC96" s="330">
        <v>121</v>
      </c>
      <c r="BD96" s="330">
        <v>48</v>
      </c>
      <c r="BE96" s="330">
        <v>60</v>
      </c>
      <c r="BF96" s="330">
        <v>37</v>
      </c>
      <c r="BG96" s="330">
        <v>13</v>
      </c>
      <c r="BH96" s="330">
        <v>6</v>
      </c>
      <c r="BI96" s="330">
        <v>3</v>
      </c>
      <c r="BJ96" s="330">
        <v>0</v>
      </c>
      <c r="BK96" s="328">
        <v>289</v>
      </c>
      <c r="BL96" s="323">
        <v>0</v>
      </c>
      <c r="BM96" s="323">
        <v>21</v>
      </c>
      <c r="BN96" s="323">
        <v>8</v>
      </c>
      <c r="BO96" s="323">
        <v>11</v>
      </c>
      <c r="BP96" s="323">
        <v>5</v>
      </c>
      <c r="BQ96" s="323">
        <v>2</v>
      </c>
      <c r="BR96" s="323">
        <v>4</v>
      </c>
      <c r="BS96" s="323">
        <v>9</v>
      </c>
      <c r="BT96" s="323">
        <v>2</v>
      </c>
      <c r="BU96" s="323">
        <v>62</v>
      </c>
      <c r="BV96" s="329" t="s">
        <v>934</v>
      </c>
      <c r="BW96" s="330">
        <v>0</v>
      </c>
      <c r="BX96" s="330">
        <v>0</v>
      </c>
      <c r="BY96" s="330">
        <v>0</v>
      </c>
      <c r="BZ96" s="330">
        <v>0</v>
      </c>
      <c r="CA96" s="330">
        <v>0</v>
      </c>
      <c r="CB96" s="330">
        <v>0</v>
      </c>
      <c r="CC96" s="330">
        <v>0</v>
      </c>
      <c r="CD96" s="330">
        <v>0</v>
      </c>
      <c r="CE96" s="328">
        <v>0</v>
      </c>
      <c r="CF96" s="322" t="s">
        <v>934</v>
      </c>
      <c r="CG96" s="323">
        <v>633</v>
      </c>
      <c r="CH96" s="323">
        <v>261</v>
      </c>
      <c r="CI96" s="323">
        <v>233</v>
      </c>
      <c r="CJ96" s="323">
        <v>186</v>
      </c>
      <c r="CK96" s="323">
        <v>83</v>
      </c>
      <c r="CL96" s="323">
        <v>48</v>
      </c>
      <c r="CM96" s="323">
        <v>32</v>
      </c>
      <c r="CN96" s="323">
        <v>7</v>
      </c>
      <c r="CO96" s="323">
        <v>1483</v>
      </c>
      <c r="CP96" s="329" t="s">
        <v>934</v>
      </c>
      <c r="CQ96" s="330">
        <v>0</v>
      </c>
      <c r="CR96" s="330">
        <v>0</v>
      </c>
      <c r="CS96" s="330">
        <v>0</v>
      </c>
      <c r="CT96" s="330">
        <v>0</v>
      </c>
      <c r="CU96" s="330">
        <v>0</v>
      </c>
      <c r="CV96" s="330">
        <v>0</v>
      </c>
      <c r="CW96" s="330">
        <v>0</v>
      </c>
      <c r="CX96" s="330">
        <v>0</v>
      </c>
      <c r="CY96" s="328">
        <v>0</v>
      </c>
      <c r="CZ96" s="322" t="s">
        <v>934</v>
      </c>
      <c r="DA96" s="323">
        <v>0</v>
      </c>
      <c r="DB96" s="323">
        <v>0</v>
      </c>
      <c r="DC96" s="323">
        <v>0</v>
      </c>
      <c r="DD96" s="323">
        <v>0</v>
      </c>
      <c r="DE96" s="323">
        <v>0</v>
      </c>
      <c r="DF96" s="323">
        <v>0</v>
      </c>
      <c r="DG96" s="323">
        <v>0</v>
      </c>
      <c r="DH96" s="323">
        <v>0</v>
      </c>
      <c r="DI96" s="323">
        <v>0</v>
      </c>
      <c r="DJ96" s="337">
        <v>0</v>
      </c>
      <c r="DK96" s="644">
        <v>26112.7</v>
      </c>
      <c r="DL96" s="616">
        <v>18564</v>
      </c>
      <c r="DM96" s="616">
        <v>6016</v>
      </c>
      <c r="DN96" s="616">
        <v>6100</v>
      </c>
      <c r="DO96" s="616">
        <v>4161</v>
      </c>
      <c r="DP96" s="616">
        <v>1945</v>
      </c>
      <c r="DQ96" s="616">
        <v>1071</v>
      </c>
      <c r="DR96" s="616">
        <v>719</v>
      </c>
      <c r="DS96" s="617">
        <v>86</v>
      </c>
      <c r="DT96" s="607">
        <f t="shared" si="1"/>
        <v>38662</v>
      </c>
      <c r="DU96" s="342"/>
      <c r="EC96" s="646"/>
      <c r="EF96" s="125"/>
      <c r="EG96" s="124"/>
    </row>
    <row r="97" spans="1:137" ht="15">
      <c r="A97" s="22">
        <v>89</v>
      </c>
      <c r="B97" s="23" t="s">
        <v>308</v>
      </c>
      <c r="C97" s="24" t="s">
        <v>309</v>
      </c>
      <c r="D97" s="613"/>
      <c r="E97" s="626">
        <v>2535</v>
      </c>
      <c r="F97" s="626">
        <v>12089</v>
      </c>
      <c r="G97" s="626">
        <v>28793</v>
      </c>
      <c r="H97" s="626">
        <v>41116</v>
      </c>
      <c r="I97" s="626">
        <v>21586</v>
      </c>
      <c r="J97" s="626">
        <v>9363</v>
      </c>
      <c r="K97" s="626">
        <v>6632</v>
      </c>
      <c r="L97" s="626">
        <v>908</v>
      </c>
      <c r="M97" s="627">
        <v>123022</v>
      </c>
      <c r="N97" s="322"/>
      <c r="O97" s="323">
        <v>198</v>
      </c>
      <c r="P97" s="323">
        <v>594</v>
      </c>
      <c r="Q97" s="323">
        <v>1276</v>
      </c>
      <c r="R97" s="323">
        <v>1305</v>
      </c>
      <c r="S97" s="323">
        <v>660</v>
      </c>
      <c r="T97" s="323">
        <v>276</v>
      </c>
      <c r="U97" s="323">
        <v>122</v>
      </c>
      <c r="V97" s="323">
        <v>19</v>
      </c>
      <c r="W97" s="323">
        <v>4450</v>
      </c>
      <c r="X97" s="329" t="s">
        <v>934</v>
      </c>
      <c r="Y97" s="330">
        <v>0</v>
      </c>
      <c r="Z97" s="330">
        <v>0</v>
      </c>
      <c r="AA97" s="330">
        <v>0</v>
      </c>
      <c r="AB97" s="330">
        <v>0</v>
      </c>
      <c r="AC97" s="330">
        <v>0</v>
      </c>
      <c r="AD97" s="330">
        <v>0</v>
      </c>
      <c r="AE97" s="330">
        <v>0</v>
      </c>
      <c r="AF97" s="330">
        <v>0</v>
      </c>
      <c r="AG97" s="328">
        <v>0</v>
      </c>
      <c r="AH97" s="329" t="s">
        <v>934</v>
      </c>
      <c r="AI97" s="184">
        <v>1</v>
      </c>
      <c r="AJ97" s="184">
        <v>21</v>
      </c>
      <c r="AK97" s="184">
        <v>128</v>
      </c>
      <c r="AL97" s="184">
        <v>449</v>
      </c>
      <c r="AM97" s="184">
        <v>199</v>
      </c>
      <c r="AN97" s="184">
        <v>94</v>
      </c>
      <c r="AO97" s="184">
        <v>82</v>
      </c>
      <c r="AP97" s="184">
        <v>31</v>
      </c>
      <c r="AQ97" s="336">
        <v>1005</v>
      </c>
      <c r="AR97" s="323">
        <v>0</v>
      </c>
      <c r="AS97" s="323">
        <v>1164</v>
      </c>
      <c r="AT97" s="323">
        <v>5206</v>
      </c>
      <c r="AU97" s="323">
        <v>11215</v>
      </c>
      <c r="AV97" s="323">
        <v>10955</v>
      </c>
      <c r="AW97" s="323">
        <v>5567</v>
      </c>
      <c r="AX97" s="323">
        <v>1988</v>
      </c>
      <c r="AY97" s="323">
        <v>961</v>
      </c>
      <c r="AZ97" s="323">
        <v>71</v>
      </c>
      <c r="BA97" s="323">
        <v>37127</v>
      </c>
      <c r="BB97" s="331">
        <v>0</v>
      </c>
      <c r="BC97" s="330">
        <v>7</v>
      </c>
      <c r="BD97" s="330">
        <v>81</v>
      </c>
      <c r="BE97" s="330">
        <v>273</v>
      </c>
      <c r="BF97" s="330">
        <v>381</v>
      </c>
      <c r="BG97" s="330">
        <v>222</v>
      </c>
      <c r="BH97" s="330">
        <v>78</v>
      </c>
      <c r="BI97" s="330">
        <v>43</v>
      </c>
      <c r="BJ97" s="330">
        <v>8</v>
      </c>
      <c r="BK97" s="328">
        <v>1093</v>
      </c>
      <c r="BL97" s="323">
        <v>0</v>
      </c>
      <c r="BM97" s="323">
        <v>1</v>
      </c>
      <c r="BN97" s="323">
        <v>5</v>
      </c>
      <c r="BO97" s="323">
        <v>20</v>
      </c>
      <c r="BP97" s="323">
        <v>20</v>
      </c>
      <c r="BQ97" s="323">
        <v>24</v>
      </c>
      <c r="BR97" s="323">
        <v>23</v>
      </c>
      <c r="BS97" s="323">
        <v>51</v>
      </c>
      <c r="BT97" s="323">
        <v>26</v>
      </c>
      <c r="BU97" s="323">
        <v>170</v>
      </c>
      <c r="BV97" s="329" t="s">
        <v>934</v>
      </c>
      <c r="BW97" s="330">
        <v>22</v>
      </c>
      <c r="BX97" s="330">
        <v>123</v>
      </c>
      <c r="BY97" s="330">
        <v>307</v>
      </c>
      <c r="BZ97" s="330">
        <v>328</v>
      </c>
      <c r="CA97" s="330">
        <v>264</v>
      </c>
      <c r="CB97" s="330">
        <v>112</v>
      </c>
      <c r="CC97" s="330">
        <v>73</v>
      </c>
      <c r="CD97" s="330">
        <v>10</v>
      </c>
      <c r="CE97" s="328">
        <v>1239</v>
      </c>
      <c r="CF97" s="322" t="s">
        <v>934</v>
      </c>
      <c r="CG97" s="323">
        <v>0</v>
      </c>
      <c r="CH97" s="323">
        <v>0</v>
      </c>
      <c r="CI97" s="323">
        <v>3</v>
      </c>
      <c r="CJ97" s="323">
        <v>0</v>
      </c>
      <c r="CK97" s="323">
        <v>0</v>
      </c>
      <c r="CL97" s="323">
        <v>0</v>
      </c>
      <c r="CM97" s="323">
        <v>0</v>
      </c>
      <c r="CN97" s="323">
        <v>1</v>
      </c>
      <c r="CO97" s="323">
        <v>4</v>
      </c>
      <c r="CP97" s="329" t="s">
        <v>934</v>
      </c>
      <c r="CQ97" s="330">
        <v>60</v>
      </c>
      <c r="CR97" s="330">
        <v>137</v>
      </c>
      <c r="CS97" s="330">
        <v>309</v>
      </c>
      <c r="CT97" s="330">
        <v>312</v>
      </c>
      <c r="CU97" s="330">
        <v>139</v>
      </c>
      <c r="CV97" s="330">
        <v>63</v>
      </c>
      <c r="CW97" s="330">
        <v>50</v>
      </c>
      <c r="CX97" s="330">
        <v>17</v>
      </c>
      <c r="CY97" s="328">
        <v>1087</v>
      </c>
      <c r="CZ97" s="322" t="s">
        <v>934</v>
      </c>
      <c r="DA97" s="323">
        <v>0</v>
      </c>
      <c r="DB97" s="323">
        <v>0</v>
      </c>
      <c r="DC97" s="323">
        <v>0</v>
      </c>
      <c r="DD97" s="323">
        <v>0</v>
      </c>
      <c r="DE97" s="323">
        <v>0</v>
      </c>
      <c r="DF97" s="323">
        <v>0</v>
      </c>
      <c r="DG97" s="323">
        <v>0</v>
      </c>
      <c r="DH97" s="323">
        <v>0</v>
      </c>
      <c r="DI97" s="323">
        <v>0</v>
      </c>
      <c r="DJ97" s="337">
        <v>0</v>
      </c>
      <c r="DK97" s="644">
        <v>115564</v>
      </c>
      <c r="DL97" s="614">
        <v>2610</v>
      </c>
      <c r="DM97" s="614">
        <v>12215</v>
      </c>
      <c r="DN97" s="614">
        <v>29366</v>
      </c>
      <c r="DO97" s="614">
        <v>41515</v>
      </c>
      <c r="DP97" s="614">
        <v>21791</v>
      </c>
      <c r="DQ97" s="614">
        <v>9512</v>
      </c>
      <c r="DR97" s="614">
        <v>6653</v>
      </c>
      <c r="DS97" s="615">
        <v>914</v>
      </c>
      <c r="DT97" s="607">
        <f t="shared" si="1"/>
        <v>124576</v>
      </c>
      <c r="DU97" s="342"/>
      <c r="EC97" s="646"/>
      <c r="EF97" s="123"/>
      <c r="EG97" s="124"/>
    </row>
    <row r="98" spans="1:137" ht="15">
      <c r="A98" s="22">
        <v>90</v>
      </c>
      <c r="B98" s="23" t="s">
        <v>310</v>
      </c>
      <c r="C98" s="24" t="s">
        <v>311</v>
      </c>
      <c r="D98" s="613"/>
      <c r="E98" s="629">
        <v>33314</v>
      </c>
      <c r="F98" s="629">
        <v>3055</v>
      </c>
      <c r="G98" s="629">
        <v>2833</v>
      </c>
      <c r="H98" s="629">
        <v>1793</v>
      </c>
      <c r="I98" s="629">
        <v>791</v>
      </c>
      <c r="J98" s="629">
        <v>227</v>
      </c>
      <c r="K98" s="629">
        <v>161</v>
      </c>
      <c r="L98" s="629">
        <v>23</v>
      </c>
      <c r="M98" s="627">
        <v>42197</v>
      </c>
      <c r="N98" s="322"/>
      <c r="O98" s="323">
        <v>1243</v>
      </c>
      <c r="P98" s="323">
        <v>65</v>
      </c>
      <c r="Q98" s="323">
        <v>41</v>
      </c>
      <c r="R98" s="323">
        <v>29</v>
      </c>
      <c r="S98" s="323">
        <v>6</v>
      </c>
      <c r="T98" s="323">
        <v>4</v>
      </c>
      <c r="U98" s="323">
        <v>2</v>
      </c>
      <c r="V98" s="323">
        <v>1</v>
      </c>
      <c r="W98" s="323">
        <v>1391</v>
      </c>
      <c r="X98" s="329" t="s">
        <v>934</v>
      </c>
      <c r="Y98" s="330">
        <v>0</v>
      </c>
      <c r="Z98" s="330">
        <v>0</v>
      </c>
      <c r="AA98" s="330">
        <v>0</v>
      </c>
      <c r="AB98" s="330">
        <v>0</v>
      </c>
      <c r="AC98" s="330">
        <v>0</v>
      </c>
      <c r="AD98" s="330">
        <v>0</v>
      </c>
      <c r="AE98" s="330">
        <v>0</v>
      </c>
      <c r="AF98" s="330">
        <v>0</v>
      </c>
      <c r="AG98" s="328">
        <v>0</v>
      </c>
      <c r="AH98" s="329" t="s">
        <v>934</v>
      </c>
      <c r="AI98" s="184">
        <v>110</v>
      </c>
      <c r="AJ98" s="184">
        <v>11</v>
      </c>
      <c r="AK98" s="184">
        <v>29</v>
      </c>
      <c r="AL98" s="184">
        <v>15</v>
      </c>
      <c r="AM98" s="184">
        <v>10</v>
      </c>
      <c r="AN98" s="184">
        <v>4</v>
      </c>
      <c r="AO98" s="184">
        <v>8</v>
      </c>
      <c r="AP98" s="184">
        <v>13</v>
      </c>
      <c r="AQ98" s="336">
        <v>200</v>
      </c>
      <c r="AR98" s="323">
        <v>20</v>
      </c>
      <c r="AS98" s="323">
        <v>13321</v>
      </c>
      <c r="AT98" s="323">
        <v>701</v>
      </c>
      <c r="AU98" s="323">
        <v>531</v>
      </c>
      <c r="AV98" s="323">
        <v>235</v>
      </c>
      <c r="AW98" s="323">
        <v>103</v>
      </c>
      <c r="AX98" s="323">
        <v>28</v>
      </c>
      <c r="AY98" s="323">
        <v>13</v>
      </c>
      <c r="AZ98" s="323">
        <v>1</v>
      </c>
      <c r="BA98" s="323">
        <v>14953</v>
      </c>
      <c r="BB98" s="331">
        <v>4</v>
      </c>
      <c r="BC98" s="330">
        <v>232</v>
      </c>
      <c r="BD98" s="330">
        <v>30</v>
      </c>
      <c r="BE98" s="330">
        <v>17</v>
      </c>
      <c r="BF98" s="330">
        <v>14</v>
      </c>
      <c r="BG98" s="330">
        <v>8</v>
      </c>
      <c r="BH98" s="330">
        <v>2</v>
      </c>
      <c r="BI98" s="330">
        <v>0</v>
      </c>
      <c r="BJ98" s="330">
        <v>0</v>
      </c>
      <c r="BK98" s="328">
        <v>307</v>
      </c>
      <c r="BL98" s="323">
        <v>0</v>
      </c>
      <c r="BM98" s="323">
        <v>22</v>
      </c>
      <c r="BN98" s="323">
        <v>6</v>
      </c>
      <c r="BO98" s="323">
        <v>6</v>
      </c>
      <c r="BP98" s="323">
        <v>7</v>
      </c>
      <c r="BQ98" s="323">
        <v>5</v>
      </c>
      <c r="BR98" s="323">
        <v>9</v>
      </c>
      <c r="BS98" s="323">
        <v>18</v>
      </c>
      <c r="BT98" s="323">
        <v>3</v>
      </c>
      <c r="BU98" s="323">
        <v>76</v>
      </c>
      <c r="BV98" s="329" t="s">
        <v>934</v>
      </c>
      <c r="BW98" s="330">
        <v>0</v>
      </c>
      <c r="BX98" s="330">
        <v>0</v>
      </c>
      <c r="BY98" s="330">
        <v>0</v>
      </c>
      <c r="BZ98" s="330">
        <v>1</v>
      </c>
      <c r="CA98" s="330">
        <v>0</v>
      </c>
      <c r="CB98" s="330">
        <v>0</v>
      </c>
      <c r="CC98" s="330">
        <v>0</v>
      </c>
      <c r="CD98" s="330">
        <v>0</v>
      </c>
      <c r="CE98" s="328">
        <v>1</v>
      </c>
      <c r="CF98" s="322" t="s">
        <v>934</v>
      </c>
      <c r="CG98" s="323">
        <v>599</v>
      </c>
      <c r="CH98" s="323">
        <v>53</v>
      </c>
      <c r="CI98" s="323">
        <v>33</v>
      </c>
      <c r="CJ98" s="323">
        <v>29</v>
      </c>
      <c r="CK98" s="323">
        <v>25</v>
      </c>
      <c r="CL98" s="323">
        <v>4</v>
      </c>
      <c r="CM98" s="323">
        <v>8</v>
      </c>
      <c r="CN98" s="323">
        <v>0</v>
      </c>
      <c r="CO98" s="323">
        <v>751</v>
      </c>
      <c r="CP98" s="329" t="s">
        <v>934</v>
      </c>
      <c r="CQ98" s="330">
        <v>0</v>
      </c>
      <c r="CR98" s="330">
        <v>0</v>
      </c>
      <c r="CS98" s="330">
        <v>0</v>
      </c>
      <c r="CT98" s="330">
        <v>0</v>
      </c>
      <c r="CU98" s="330">
        <v>0</v>
      </c>
      <c r="CV98" s="330">
        <v>0</v>
      </c>
      <c r="CW98" s="330">
        <v>0</v>
      </c>
      <c r="CX98" s="330">
        <v>0</v>
      </c>
      <c r="CY98" s="328">
        <v>0</v>
      </c>
      <c r="CZ98" s="322" t="s">
        <v>934</v>
      </c>
      <c r="DA98" s="323">
        <v>0</v>
      </c>
      <c r="DB98" s="323">
        <v>0</v>
      </c>
      <c r="DC98" s="323">
        <v>0</v>
      </c>
      <c r="DD98" s="323">
        <v>0</v>
      </c>
      <c r="DE98" s="323">
        <v>0</v>
      </c>
      <c r="DF98" s="323">
        <v>0</v>
      </c>
      <c r="DG98" s="323">
        <v>0</v>
      </c>
      <c r="DH98" s="323">
        <v>0</v>
      </c>
      <c r="DI98" s="323">
        <v>0</v>
      </c>
      <c r="DJ98" s="337">
        <v>0</v>
      </c>
      <c r="DK98" s="644">
        <v>26558</v>
      </c>
      <c r="DL98" s="616">
        <v>33211</v>
      </c>
      <c r="DM98" s="616">
        <v>3377</v>
      </c>
      <c r="DN98" s="616">
        <v>2983</v>
      </c>
      <c r="DO98" s="616">
        <v>1951</v>
      </c>
      <c r="DP98" s="616">
        <v>807</v>
      </c>
      <c r="DQ98" s="616">
        <v>235</v>
      </c>
      <c r="DR98" s="616">
        <v>165</v>
      </c>
      <c r="DS98" s="617">
        <v>24</v>
      </c>
      <c r="DT98" s="607">
        <f t="shared" si="1"/>
        <v>42753</v>
      </c>
      <c r="DU98" s="342"/>
      <c r="EC98" s="646"/>
      <c r="EF98" s="125"/>
      <c r="EG98" s="124"/>
    </row>
    <row r="99" spans="1:137" ht="15">
      <c r="A99" s="22">
        <v>91</v>
      </c>
      <c r="B99" s="23" t="s">
        <v>312</v>
      </c>
      <c r="C99" s="24" t="s">
        <v>313</v>
      </c>
      <c r="D99" s="613"/>
      <c r="E99" s="629">
        <v>3885</v>
      </c>
      <c r="F99" s="629">
        <v>9828</v>
      </c>
      <c r="G99" s="629">
        <v>6757</v>
      </c>
      <c r="H99" s="629">
        <v>6309</v>
      </c>
      <c r="I99" s="629">
        <v>3979</v>
      </c>
      <c r="J99" s="629">
        <v>1787</v>
      </c>
      <c r="K99" s="629">
        <v>594</v>
      </c>
      <c r="L99" s="629">
        <v>72</v>
      </c>
      <c r="M99" s="627">
        <v>33211</v>
      </c>
      <c r="N99" s="322"/>
      <c r="O99" s="323">
        <v>259</v>
      </c>
      <c r="P99" s="323">
        <v>343</v>
      </c>
      <c r="Q99" s="323">
        <v>309</v>
      </c>
      <c r="R99" s="323">
        <v>302</v>
      </c>
      <c r="S99" s="323">
        <v>187</v>
      </c>
      <c r="T99" s="323">
        <v>77</v>
      </c>
      <c r="U99" s="323">
        <v>29</v>
      </c>
      <c r="V99" s="323">
        <v>5</v>
      </c>
      <c r="W99" s="323">
        <v>1511</v>
      </c>
      <c r="X99" s="329" t="s">
        <v>934</v>
      </c>
      <c r="Y99" s="330">
        <v>2</v>
      </c>
      <c r="Z99" s="330">
        <v>0</v>
      </c>
      <c r="AA99" s="330">
        <v>0</v>
      </c>
      <c r="AB99" s="330">
        <v>0</v>
      </c>
      <c r="AC99" s="330">
        <v>1</v>
      </c>
      <c r="AD99" s="330">
        <v>0</v>
      </c>
      <c r="AE99" s="330">
        <v>0</v>
      </c>
      <c r="AF99" s="330">
        <v>0</v>
      </c>
      <c r="AG99" s="328">
        <v>3</v>
      </c>
      <c r="AH99" s="329" t="s">
        <v>934</v>
      </c>
      <c r="AI99" s="184">
        <v>10</v>
      </c>
      <c r="AJ99" s="184">
        <v>45</v>
      </c>
      <c r="AK99" s="184">
        <v>35</v>
      </c>
      <c r="AL99" s="184">
        <v>51</v>
      </c>
      <c r="AM99" s="184">
        <v>30</v>
      </c>
      <c r="AN99" s="184">
        <v>14</v>
      </c>
      <c r="AO99" s="184">
        <v>13</v>
      </c>
      <c r="AP99" s="184">
        <v>1</v>
      </c>
      <c r="AQ99" s="336">
        <v>199</v>
      </c>
      <c r="AR99" s="323">
        <v>7</v>
      </c>
      <c r="AS99" s="323">
        <v>1836</v>
      </c>
      <c r="AT99" s="323">
        <v>3311</v>
      </c>
      <c r="AU99" s="323">
        <v>1816</v>
      </c>
      <c r="AV99" s="323">
        <v>1215</v>
      </c>
      <c r="AW99" s="323">
        <v>532</v>
      </c>
      <c r="AX99" s="323">
        <v>199</v>
      </c>
      <c r="AY99" s="323">
        <v>59</v>
      </c>
      <c r="AZ99" s="323">
        <v>9</v>
      </c>
      <c r="BA99" s="323">
        <v>8984</v>
      </c>
      <c r="BB99" s="331">
        <v>0</v>
      </c>
      <c r="BC99" s="330">
        <v>25</v>
      </c>
      <c r="BD99" s="330">
        <v>72</v>
      </c>
      <c r="BE99" s="330">
        <v>28</v>
      </c>
      <c r="BF99" s="330">
        <v>30</v>
      </c>
      <c r="BG99" s="330">
        <v>18</v>
      </c>
      <c r="BH99" s="330">
        <v>8</v>
      </c>
      <c r="BI99" s="330">
        <v>0</v>
      </c>
      <c r="BJ99" s="330">
        <v>0</v>
      </c>
      <c r="BK99" s="328">
        <v>181</v>
      </c>
      <c r="BL99" s="323">
        <v>0</v>
      </c>
      <c r="BM99" s="323">
        <v>2</v>
      </c>
      <c r="BN99" s="323">
        <v>5</v>
      </c>
      <c r="BO99" s="323">
        <v>3</v>
      </c>
      <c r="BP99" s="323">
        <v>4</v>
      </c>
      <c r="BQ99" s="323">
        <v>4</v>
      </c>
      <c r="BR99" s="323">
        <v>9</v>
      </c>
      <c r="BS99" s="323">
        <v>4</v>
      </c>
      <c r="BT99" s="323">
        <v>4</v>
      </c>
      <c r="BU99" s="323">
        <v>35</v>
      </c>
      <c r="BV99" s="329" t="s">
        <v>934</v>
      </c>
      <c r="BW99" s="330">
        <v>54</v>
      </c>
      <c r="BX99" s="330">
        <v>61</v>
      </c>
      <c r="BY99" s="330">
        <v>34</v>
      </c>
      <c r="BZ99" s="330">
        <v>24</v>
      </c>
      <c r="CA99" s="330">
        <v>27</v>
      </c>
      <c r="CB99" s="330">
        <v>19</v>
      </c>
      <c r="CC99" s="330">
        <v>8</v>
      </c>
      <c r="CD99" s="330">
        <v>7</v>
      </c>
      <c r="CE99" s="328">
        <v>234</v>
      </c>
      <c r="CF99" s="322" t="s">
        <v>934</v>
      </c>
      <c r="CG99" s="323">
        <v>74</v>
      </c>
      <c r="CH99" s="323">
        <v>86</v>
      </c>
      <c r="CI99" s="323">
        <v>77</v>
      </c>
      <c r="CJ99" s="323">
        <v>52</v>
      </c>
      <c r="CK99" s="323">
        <v>30</v>
      </c>
      <c r="CL99" s="323">
        <v>13</v>
      </c>
      <c r="CM99" s="323">
        <v>5</v>
      </c>
      <c r="CN99" s="323">
        <v>1</v>
      </c>
      <c r="CO99" s="323">
        <v>338</v>
      </c>
      <c r="CP99" s="329" t="s">
        <v>934</v>
      </c>
      <c r="CQ99" s="330">
        <v>0</v>
      </c>
      <c r="CR99" s="330">
        <v>0</v>
      </c>
      <c r="CS99" s="330">
        <v>0</v>
      </c>
      <c r="CT99" s="330">
        <v>0</v>
      </c>
      <c r="CU99" s="330">
        <v>0</v>
      </c>
      <c r="CV99" s="330">
        <v>0</v>
      </c>
      <c r="CW99" s="330">
        <v>0</v>
      </c>
      <c r="CX99" s="330">
        <v>0</v>
      </c>
      <c r="CY99" s="328">
        <v>0</v>
      </c>
      <c r="CZ99" s="322" t="s">
        <v>934</v>
      </c>
      <c r="DA99" s="323">
        <v>0</v>
      </c>
      <c r="DB99" s="323">
        <v>0</v>
      </c>
      <c r="DC99" s="323">
        <v>0</v>
      </c>
      <c r="DD99" s="323">
        <v>0</v>
      </c>
      <c r="DE99" s="323">
        <v>0</v>
      </c>
      <c r="DF99" s="323">
        <v>0</v>
      </c>
      <c r="DG99" s="323">
        <v>0</v>
      </c>
      <c r="DH99" s="323">
        <v>0</v>
      </c>
      <c r="DI99" s="323">
        <v>0</v>
      </c>
      <c r="DJ99" s="337">
        <v>0</v>
      </c>
      <c r="DK99" s="644">
        <v>27434.2</v>
      </c>
      <c r="DL99" s="616">
        <v>4010</v>
      </c>
      <c r="DM99" s="616">
        <v>10017</v>
      </c>
      <c r="DN99" s="616">
        <v>6932</v>
      </c>
      <c r="DO99" s="616">
        <v>6365</v>
      </c>
      <c r="DP99" s="616">
        <v>4051</v>
      </c>
      <c r="DQ99" s="616">
        <v>1805</v>
      </c>
      <c r="DR99" s="616">
        <v>598</v>
      </c>
      <c r="DS99" s="617">
        <v>76</v>
      </c>
      <c r="DT99" s="607">
        <f t="shared" si="1"/>
        <v>33854</v>
      </c>
      <c r="DU99" s="342"/>
      <c r="EC99" s="646"/>
      <c r="EF99" s="125"/>
      <c r="EG99" s="124"/>
    </row>
    <row r="100" spans="1:137" ht="15">
      <c r="A100" s="22">
        <v>92</v>
      </c>
      <c r="B100" s="23" t="s">
        <v>314</v>
      </c>
      <c r="C100" s="24" t="s">
        <v>315</v>
      </c>
      <c r="D100" s="613"/>
      <c r="E100" s="629">
        <v>5318</v>
      </c>
      <c r="F100" s="629">
        <v>12032</v>
      </c>
      <c r="G100" s="629">
        <v>13690</v>
      </c>
      <c r="H100" s="629">
        <v>11466</v>
      </c>
      <c r="I100" s="629">
        <v>9532</v>
      </c>
      <c r="J100" s="629">
        <v>5779</v>
      </c>
      <c r="K100" s="629">
        <v>3831</v>
      </c>
      <c r="L100" s="629">
        <v>185</v>
      </c>
      <c r="M100" s="627">
        <v>61833</v>
      </c>
      <c r="N100" s="322"/>
      <c r="O100" s="323">
        <v>298</v>
      </c>
      <c r="P100" s="323">
        <v>471</v>
      </c>
      <c r="Q100" s="323">
        <v>369</v>
      </c>
      <c r="R100" s="323">
        <v>292</v>
      </c>
      <c r="S100" s="323">
        <v>192</v>
      </c>
      <c r="T100" s="323">
        <v>92</v>
      </c>
      <c r="U100" s="323">
        <v>57</v>
      </c>
      <c r="V100" s="323">
        <v>10</v>
      </c>
      <c r="W100" s="323">
        <v>1781</v>
      </c>
      <c r="X100" s="329" t="s">
        <v>934</v>
      </c>
      <c r="Y100" s="330">
        <v>0</v>
      </c>
      <c r="Z100" s="330">
        <v>3</v>
      </c>
      <c r="AA100" s="330">
        <v>0</v>
      </c>
      <c r="AB100" s="330">
        <v>3</v>
      </c>
      <c r="AC100" s="330">
        <v>0</v>
      </c>
      <c r="AD100" s="330">
        <v>3</v>
      </c>
      <c r="AE100" s="330">
        <v>0</v>
      </c>
      <c r="AF100" s="330">
        <v>0</v>
      </c>
      <c r="AG100" s="328">
        <v>9</v>
      </c>
      <c r="AH100" s="329" t="s">
        <v>934</v>
      </c>
      <c r="AI100" s="184">
        <v>12</v>
      </c>
      <c r="AJ100" s="184">
        <v>64</v>
      </c>
      <c r="AK100" s="184">
        <v>87</v>
      </c>
      <c r="AL100" s="184">
        <v>86</v>
      </c>
      <c r="AM100" s="184">
        <v>104</v>
      </c>
      <c r="AN100" s="184">
        <v>76</v>
      </c>
      <c r="AO100" s="184">
        <v>89</v>
      </c>
      <c r="AP100" s="184">
        <v>26</v>
      </c>
      <c r="AQ100" s="336">
        <v>544</v>
      </c>
      <c r="AR100" s="323">
        <v>2</v>
      </c>
      <c r="AS100" s="323">
        <v>2697</v>
      </c>
      <c r="AT100" s="323">
        <v>4986</v>
      </c>
      <c r="AU100" s="323">
        <v>4514</v>
      </c>
      <c r="AV100" s="323">
        <v>3472</v>
      </c>
      <c r="AW100" s="323">
        <v>2153</v>
      </c>
      <c r="AX100" s="323">
        <v>1078</v>
      </c>
      <c r="AY100" s="323">
        <v>590</v>
      </c>
      <c r="AZ100" s="323">
        <v>19</v>
      </c>
      <c r="BA100" s="323">
        <v>19511</v>
      </c>
      <c r="BB100" s="331">
        <v>0</v>
      </c>
      <c r="BC100" s="330">
        <v>27</v>
      </c>
      <c r="BD100" s="330">
        <v>65</v>
      </c>
      <c r="BE100" s="330">
        <v>80</v>
      </c>
      <c r="BF100" s="330">
        <v>51</v>
      </c>
      <c r="BG100" s="330">
        <v>44</v>
      </c>
      <c r="BH100" s="330">
        <v>24</v>
      </c>
      <c r="BI100" s="330">
        <v>15</v>
      </c>
      <c r="BJ100" s="330">
        <v>0</v>
      </c>
      <c r="BK100" s="328">
        <v>306</v>
      </c>
      <c r="BL100" s="323">
        <v>0</v>
      </c>
      <c r="BM100" s="323">
        <v>38</v>
      </c>
      <c r="BN100" s="323">
        <v>5</v>
      </c>
      <c r="BO100" s="323">
        <v>12</v>
      </c>
      <c r="BP100" s="323">
        <v>6</v>
      </c>
      <c r="BQ100" s="323">
        <v>20</v>
      </c>
      <c r="BR100" s="323">
        <v>42</v>
      </c>
      <c r="BS100" s="323">
        <v>33</v>
      </c>
      <c r="BT100" s="323">
        <v>5</v>
      </c>
      <c r="BU100" s="323">
        <v>161</v>
      </c>
      <c r="BV100" s="329" t="s">
        <v>934</v>
      </c>
      <c r="BW100" s="330">
        <v>290</v>
      </c>
      <c r="BX100" s="330">
        <v>381</v>
      </c>
      <c r="BY100" s="330">
        <v>527</v>
      </c>
      <c r="BZ100" s="330">
        <v>469</v>
      </c>
      <c r="CA100" s="330">
        <v>329</v>
      </c>
      <c r="CB100" s="330">
        <v>169</v>
      </c>
      <c r="CC100" s="330">
        <v>105</v>
      </c>
      <c r="CD100" s="330">
        <v>12</v>
      </c>
      <c r="CE100" s="328">
        <v>2282</v>
      </c>
      <c r="CF100" s="322" t="s">
        <v>934</v>
      </c>
      <c r="CG100" s="323">
        <v>0</v>
      </c>
      <c r="CH100" s="323">
        <v>0</v>
      </c>
      <c r="CI100" s="323">
        <v>0</v>
      </c>
      <c r="CJ100" s="323">
        <v>0</v>
      </c>
      <c r="CK100" s="323">
        <v>0</v>
      </c>
      <c r="CL100" s="323">
        <v>0</v>
      </c>
      <c r="CM100" s="323">
        <v>0</v>
      </c>
      <c r="CN100" s="323">
        <v>0</v>
      </c>
      <c r="CO100" s="323">
        <v>0</v>
      </c>
      <c r="CP100" s="329" t="s">
        <v>934</v>
      </c>
      <c r="CQ100" s="330">
        <v>93</v>
      </c>
      <c r="CR100" s="330">
        <v>112</v>
      </c>
      <c r="CS100" s="330">
        <v>73</v>
      </c>
      <c r="CT100" s="330">
        <v>60</v>
      </c>
      <c r="CU100" s="330">
        <v>40</v>
      </c>
      <c r="CV100" s="330">
        <v>21</v>
      </c>
      <c r="CW100" s="330">
        <v>19</v>
      </c>
      <c r="CX100" s="330">
        <v>5</v>
      </c>
      <c r="CY100" s="328">
        <v>423</v>
      </c>
      <c r="CZ100" s="322" t="s">
        <v>934</v>
      </c>
      <c r="DA100" s="323">
        <v>0</v>
      </c>
      <c r="DB100" s="323">
        <v>0</v>
      </c>
      <c r="DC100" s="323">
        <v>0</v>
      </c>
      <c r="DD100" s="323">
        <v>0</v>
      </c>
      <c r="DE100" s="323">
        <v>0</v>
      </c>
      <c r="DF100" s="323">
        <v>0</v>
      </c>
      <c r="DG100" s="323">
        <v>0</v>
      </c>
      <c r="DH100" s="323">
        <v>0</v>
      </c>
      <c r="DI100" s="323">
        <v>0</v>
      </c>
      <c r="DJ100" s="337">
        <v>128</v>
      </c>
      <c r="DK100" s="644">
        <v>55742.9</v>
      </c>
      <c r="DL100" s="616">
        <v>5469</v>
      </c>
      <c r="DM100" s="616">
        <v>12078</v>
      </c>
      <c r="DN100" s="616">
        <v>13781</v>
      </c>
      <c r="DO100" s="616">
        <v>11586</v>
      </c>
      <c r="DP100" s="616">
        <v>9573</v>
      </c>
      <c r="DQ100" s="616">
        <v>5795</v>
      </c>
      <c r="DR100" s="616">
        <v>3865</v>
      </c>
      <c r="DS100" s="617">
        <v>187</v>
      </c>
      <c r="DT100" s="607">
        <f t="shared" si="1"/>
        <v>62334</v>
      </c>
      <c r="DU100" s="342"/>
      <c r="EC100" s="646"/>
      <c r="EF100" s="125"/>
      <c r="EG100" s="124"/>
    </row>
    <row r="101" spans="1:137" ht="15">
      <c r="A101" s="22">
        <v>93</v>
      </c>
      <c r="B101" s="23" t="s">
        <v>316</v>
      </c>
      <c r="C101" s="24" t="s">
        <v>317</v>
      </c>
      <c r="D101" s="613"/>
      <c r="E101" s="628">
        <v>2369</v>
      </c>
      <c r="F101" s="628">
        <v>3131</v>
      </c>
      <c r="G101" s="628">
        <v>7101</v>
      </c>
      <c r="H101" s="628">
        <v>8991</v>
      </c>
      <c r="I101" s="628">
        <v>9245</v>
      </c>
      <c r="J101" s="628">
        <v>4954</v>
      </c>
      <c r="K101" s="628">
        <v>2437</v>
      </c>
      <c r="L101" s="628">
        <v>149</v>
      </c>
      <c r="M101" s="627">
        <v>38377</v>
      </c>
      <c r="N101" s="322"/>
      <c r="O101" s="323">
        <v>154</v>
      </c>
      <c r="P101" s="323">
        <v>144</v>
      </c>
      <c r="Q101" s="323">
        <v>136</v>
      </c>
      <c r="R101" s="323">
        <v>164</v>
      </c>
      <c r="S101" s="323">
        <v>140</v>
      </c>
      <c r="T101" s="323">
        <v>68</v>
      </c>
      <c r="U101" s="323">
        <v>15</v>
      </c>
      <c r="V101" s="323">
        <v>5</v>
      </c>
      <c r="W101" s="323">
        <v>826</v>
      </c>
      <c r="X101" s="329" t="s">
        <v>934</v>
      </c>
      <c r="Y101" s="330">
        <v>0</v>
      </c>
      <c r="Z101" s="330">
        <v>1</v>
      </c>
      <c r="AA101" s="330">
        <v>0</v>
      </c>
      <c r="AB101" s="330">
        <v>2</v>
      </c>
      <c r="AC101" s="330">
        <v>1</v>
      </c>
      <c r="AD101" s="330">
        <v>1</v>
      </c>
      <c r="AE101" s="330">
        <v>0</v>
      </c>
      <c r="AF101" s="330">
        <v>0</v>
      </c>
      <c r="AG101" s="328">
        <v>5</v>
      </c>
      <c r="AH101" s="329" t="s">
        <v>934</v>
      </c>
      <c r="AI101" s="184">
        <v>5</v>
      </c>
      <c r="AJ101" s="184">
        <v>6</v>
      </c>
      <c r="AK101" s="184">
        <v>29</v>
      </c>
      <c r="AL101" s="184">
        <v>69</v>
      </c>
      <c r="AM101" s="184">
        <v>88</v>
      </c>
      <c r="AN101" s="184">
        <v>51</v>
      </c>
      <c r="AO101" s="184">
        <v>24</v>
      </c>
      <c r="AP101" s="184">
        <v>7</v>
      </c>
      <c r="AQ101" s="336">
        <v>279</v>
      </c>
      <c r="AR101" s="323">
        <v>2</v>
      </c>
      <c r="AS101" s="323">
        <v>1311</v>
      </c>
      <c r="AT101" s="323">
        <v>1481</v>
      </c>
      <c r="AU101" s="323">
        <v>2375</v>
      </c>
      <c r="AV101" s="323">
        <v>2593</v>
      </c>
      <c r="AW101" s="323">
        <v>1839</v>
      </c>
      <c r="AX101" s="323">
        <v>747</v>
      </c>
      <c r="AY101" s="323">
        <v>295</v>
      </c>
      <c r="AZ101" s="323">
        <v>20</v>
      </c>
      <c r="BA101" s="323">
        <v>10663</v>
      </c>
      <c r="BB101" s="331">
        <v>0</v>
      </c>
      <c r="BC101" s="330">
        <v>6</v>
      </c>
      <c r="BD101" s="330">
        <v>18</v>
      </c>
      <c r="BE101" s="330">
        <v>55</v>
      </c>
      <c r="BF101" s="330">
        <v>59</v>
      </c>
      <c r="BG101" s="330">
        <v>50</v>
      </c>
      <c r="BH101" s="330">
        <v>15</v>
      </c>
      <c r="BI101" s="330">
        <v>2</v>
      </c>
      <c r="BJ101" s="330">
        <v>1</v>
      </c>
      <c r="BK101" s="328">
        <v>206</v>
      </c>
      <c r="BL101" s="323">
        <v>0</v>
      </c>
      <c r="BM101" s="323">
        <v>3</v>
      </c>
      <c r="BN101" s="323">
        <v>2</v>
      </c>
      <c r="BO101" s="323">
        <v>9</v>
      </c>
      <c r="BP101" s="323">
        <v>9</v>
      </c>
      <c r="BQ101" s="323">
        <v>9</v>
      </c>
      <c r="BR101" s="323">
        <v>17</v>
      </c>
      <c r="BS101" s="323">
        <v>18</v>
      </c>
      <c r="BT101" s="323">
        <v>3</v>
      </c>
      <c r="BU101" s="323">
        <v>70</v>
      </c>
      <c r="BV101" s="329" t="s">
        <v>934</v>
      </c>
      <c r="BW101" s="330">
        <v>60</v>
      </c>
      <c r="BX101" s="330">
        <v>29</v>
      </c>
      <c r="BY101" s="330">
        <v>55</v>
      </c>
      <c r="BZ101" s="330">
        <v>67</v>
      </c>
      <c r="CA101" s="330">
        <v>47</v>
      </c>
      <c r="CB101" s="330">
        <v>36</v>
      </c>
      <c r="CC101" s="330">
        <v>27</v>
      </c>
      <c r="CD101" s="330">
        <v>3</v>
      </c>
      <c r="CE101" s="328">
        <v>324</v>
      </c>
      <c r="CF101" s="322" t="s">
        <v>934</v>
      </c>
      <c r="CG101" s="323">
        <v>0</v>
      </c>
      <c r="CH101" s="323">
        <v>0</v>
      </c>
      <c r="CI101" s="323">
        <v>0</v>
      </c>
      <c r="CJ101" s="323">
        <v>0</v>
      </c>
      <c r="CK101" s="323">
        <v>0</v>
      </c>
      <c r="CL101" s="323">
        <v>0</v>
      </c>
      <c r="CM101" s="323">
        <v>0</v>
      </c>
      <c r="CN101" s="323">
        <v>0</v>
      </c>
      <c r="CO101" s="323">
        <v>0</v>
      </c>
      <c r="CP101" s="329" t="s">
        <v>934</v>
      </c>
      <c r="CQ101" s="330">
        <v>28</v>
      </c>
      <c r="CR101" s="330">
        <v>27</v>
      </c>
      <c r="CS101" s="330">
        <v>48</v>
      </c>
      <c r="CT101" s="330">
        <v>51</v>
      </c>
      <c r="CU101" s="330">
        <v>42</v>
      </c>
      <c r="CV101" s="330">
        <v>22</v>
      </c>
      <c r="CW101" s="330">
        <v>10</v>
      </c>
      <c r="CX101" s="330">
        <v>3</v>
      </c>
      <c r="CY101" s="328">
        <v>231</v>
      </c>
      <c r="CZ101" s="322" t="s">
        <v>934</v>
      </c>
      <c r="DA101" s="323">
        <v>0</v>
      </c>
      <c r="DB101" s="323">
        <v>0</v>
      </c>
      <c r="DC101" s="323">
        <v>0</v>
      </c>
      <c r="DD101" s="323">
        <v>0</v>
      </c>
      <c r="DE101" s="323">
        <v>0</v>
      </c>
      <c r="DF101" s="323">
        <v>0</v>
      </c>
      <c r="DG101" s="323">
        <v>0</v>
      </c>
      <c r="DH101" s="323">
        <v>0</v>
      </c>
      <c r="DI101" s="323">
        <v>0</v>
      </c>
      <c r="DJ101" s="337">
        <v>49.8</v>
      </c>
      <c r="DK101" s="644">
        <v>38405.9</v>
      </c>
      <c r="DL101" s="614">
        <v>2397</v>
      </c>
      <c r="DM101" s="614">
        <v>3143</v>
      </c>
      <c r="DN101" s="614">
        <v>7174</v>
      </c>
      <c r="DO101" s="614">
        <v>9004</v>
      </c>
      <c r="DP101" s="614">
        <v>9266</v>
      </c>
      <c r="DQ101" s="614">
        <v>4962</v>
      </c>
      <c r="DR101" s="614">
        <v>2441</v>
      </c>
      <c r="DS101" s="615">
        <v>153</v>
      </c>
      <c r="DT101" s="607">
        <f t="shared" si="1"/>
        <v>38540</v>
      </c>
      <c r="DU101" s="342"/>
      <c r="EC101" s="646"/>
      <c r="EF101" s="126"/>
      <c r="EG101" s="124"/>
    </row>
    <row r="102" spans="1:137" ht="15">
      <c r="A102" s="22">
        <v>94</v>
      </c>
      <c r="B102" s="23" t="s">
        <v>318</v>
      </c>
      <c r="C102" s="24" t="s">
        <v>319</v>
      </c>
      <c r="D102" s="613"/>
      <c r="E102" s="628">
        <v>2657</v>
      </c>
      <c r="F102" s="628">
        <v>4832</v>
      </c>
      <c r="G102" s="628">
        <v>11242</v>
      </c>
      <c r="H102" s="628">
        <v>9660</v>
      </c>
      <c r="I102" s="628">
        <v>8181</v>
      </c>
      <c r="J102" s="628">
        <v>5503</v>
      </c>
      <c r="K102" s="628">
        <v>4340</v>
      </c>
      <c r="L102" s="628">
        <v>609</v>
      </c>
      <c r="M102" s="627">
        <v>47024</v>
      </c>
      <c r="N102" s="322"/>
      <c r="O102" s="323">
        <v>460</v>
      </c>
      <c r="P102" s="323">
        <v>238</v>
      </c>
      <c r="Q102" s="323">
        <v>319</v>
      </c>
      <c r="R102" s="323">
        <v>234</v>
      </c>
      <c r="S102" s="323">
        <v>130</v>
      </c>
      <c r="T102" s="323">
        <v>81</v>
      </c>
      <c r="U102" s="323">
        <v>62</v>
      </c>
      <c r="V102" s="323">
        <v>21</v>
      </c>
      <c r="W102" s="323">
        <v>1545</v>
      </c>
      <c r="X102" s="329" t="s">
        <v>934</v>
      </c>
      <c r="Y102" s="330">
        <v>0</v>
      </c>
      <c r="Z102" s="330">
        <v>0</v>
      </c>
      <c r="AA102" s="330">
        <v>0</v>
      </c>
      <c r="AB102" s="330">
        <v>0</v>
      </c>
      <c r="AC102" s="330">
        <v>0</v>
      </c>
      <c r="AD102" s="330">
        <v>0</v>
      </c>
      <c r="AE102" s="330">
        <v>0</v>
      </c>
      <c r="AF102" s="330">
        <v>0</v>
      </c>
      <c r="AG102" s="328">
        <v>0</v>
      </c>
      <c r="AH102" s="329" t="s">
        <v>934</v>
      </c>
      <c r="AI102" s="184">
        <v>16</v>
      </c>
      <c r="AJ102" s="184">
        <v>30</v>
      </c>
      <c r="AK102" s="184">
        <v>66</v>
      </c>
      <c r="AL102" s="184">
        <v>63</v>
      </c>
      <c r="AM102" s="184">
        <v>79</v>
      </c>
      <c r="AN102" s="184">
        <v>57</v>
      </c>
      <c r="AO102" s="184">
        <v>40</v>
      </c>
      <c r="AP102" s="184">
        <v>15</v>
      </c>
      <c r="AQ102" s="336">
        <v>366</v>
      </c>
      <c r="AR102" s="323">
        <v>7</v>
      </c>
      <c r="AS102" s="323">
        <v>1394</v>
      </c>
      <c r="AT102" s="323">
        <v>2611</v>
      </c>
      <c r="AU102" s="323">
        <v>3822</v>
      </c>
      <c r="AV102" s="323">
        <v>2427</v>
      </c>
      <c r="AW102" s="323">
        <v>1604</v>
      </c>
      <c r="AX102" s="323">
        <v>810</v>
      </c>
      <c r="AY102" s="323">
        <v>513</v>
      </c>
      <c r="AZ102" s="323">
        <v>57</v>
      </c>
      <c r="BA102" s="323">
        <v>13245</v>
      </c>
      <c r="BB102" s="331">
        <v>1</v>
      </c>
      <c r="BC102" s="330">
        <v>5</v>
      </c>
      <c r="BD102" s="330">
        <v>25</v>
      </c>
      <c r="BE102" s="330">
        <v>73</v>
      </c>
      <c r="BF102" s="330">
        <v>63</v>
      </c>
      <c r="BG102" s="330">
        <v>49</v>
      </c>
      <c r="BH102" s="330">
        <v>35</v>
      </c>
      <c r="BI102" s="330">
        <v>21</v>
      </c>
      <c r="BJ102" s="330">
        <v>2</v>
      </c>
      <c r="BK102" s="328">
        <v>274</v>
      </c>
      <c r="BL102" s="323">
        <v>0</v>
      </c>
      <c r="BM102" s="323">
        <v>5</v>
      </c>
      <c r="BN102" s="323">
        <v>8</v>
      </c>
      <c r="BO102" s="323">
        <v>4</v>
      </c>
      <c r="BP102" s="323">
        <v>6</v>
      </c>
      <c r="BQ102" s="323">
        <v>19</v>
      </c>
      <c r="BR102" s="323">
        <v>18</v>
      </c>
      <c r="BS102" s="323">
        <v>21</v>
      </c>
      <c r="BT102" s="323">
        <v>10</v>
      </c>
      <c r="BU102" s="323">
        <v>91</v>
      </c>
      <c r="BV102" s="329" t="s">
        <v>934</v>
      </c>
      <c r="BW102" s="330">
        <v>69</v>
      </c>
      <c r="BX102" s="330">
        <v>33</v>
      </c>
      <c r="BY102" s="330">
        <v>57</v>
      </c>
      <c r="BZ102" s="330">
        <v>44</v>
      </c>
      <c r="CA102" s="330">
        <v>61</v>
      </c>
      <c r="CB102" s="330">
        <v>36</v>
      </c>
      <c r="CC102" s="330">
        <v>47</v>
      </c>
      <c r="CD102" s="330">
        <v>18</v>
      </c>
      <c r="CE102" s="328">
        <v>365</v>
      </c>
      <c r="CF102" s="322" t="s">
        <v>934</v>
      </c>
      <c r="CG102" s="323">
        <v>51</v>
      </c>
      <c r="CH102" s="323">
        <v>58</v>
      </c>
      <c r="CI102" s="323">
        <v>88</v>
      </c>
      <c r="CJ102" s="323">
        <v>60</v>
      </c>
      <c r="CK102" s="323">
        <v>46</v>
      </c>
      <c r="CL102" s="323">
        <v>28</v>
      </c>
      <c r="CM102" s="323">
        <v>27</v>
      </c>
      <c r="CN102" s="323">
        <v>2</v>
      </c>
      <c r="CO102" s="323">
        <v>360</v>
      </c>
      <c r="CP102" s="329" t="s">
        <v>934</v>
      </c>
      <c r="CQ102" s="330">
        <v>0</v>
      </c>
      <c r="CR102" s="330">
        <v>0</v>
      </c>
      <c r="CS102" s="330">
        <v>0</v>
      </c>
      <c r="CT102" s="330">
        <v>0</v>
      </c>
      <c r="CU102" s="330">
        <v>0</v>
      </c>
      <c r="CV102" s="330">
        <v>0</v>
      </c>
      <c r="CW102" s="330">
        <v>0</v>
      </c>
      <c r="CX102" s="330">
        <v>0</v>
      </c>
      <c r="CY102" s="328">
        <v>0</v>
      </c>
      <c r="CZ102" s="322" t="s">
        <v>934</v>
      </c>
      <c r="DA102" s="323">
        <v>0</v>
      </c>
      <c r="DB102" s="323">
        <v>0</v>
      </c>
      <c r="DC102" s="323">
        <v>0</v>
      </c>
      <c r="DD102" s="323">
        <v>0</v>
      </c>
      <c r="DE102" s="323">
        <v>0</v>
      </c>
      <c r="DF102" s="323">
        <v>0</v>
      </c>
      <c r="DG102" s="323">
        <v>0</v>
      </c>
      <c r="DH102" s="323">
        <v>0</v>
      </c>
      <c r="DI102" s="323">
        <v>0</v>
      </c>
      <c r="DJ102" s="337">
        <v>400.5</v>
      </c>
      <c r="DK102" s="644">
        <v>46741.3</v>
      </c>
      <c r="DL102" s="614">
        <v>2636</v>
      </c>
      <c r="DM102" s="614">
        <v>4917</v>
      </c>
      <c r="DN102" s="614">
        <v>11313</v>
      </c>
      <c r="DO102" s="614">
        <v>9769</v>
      </c>
      <c r="DP102" s="614">
        <v>8211</v>
      </c>
      <c r="DQ102" s="614">
        <v>5543</v>
      </c>
      <c r="DR102" s="614">
        <v>4345</v>
      </c>
      <c r="DS102" s="615">
        <v>613</v>
      </c>
      <c r="DT102" s="607">
        <f t="shared" si="1"/>
        <v>47347</v>
      </c>
      <c r="DU102" s="342"/>
      <c r="EC102" s="646"/>
      <c r="EF102" s="123"/>
      <c r="EG102" s="124"/>
    </row>
    <row r="103" spans="1:137" ht="15">
      <c r="A103" s="22">
        <v>95</v>
      </c>
      <c r="B103" s="23" t="s">
        <v>320</v>
      </c>
      <c r="C103" s="24" t="s">
        <v>321</v>
      </c>
      <c r="D103" s="613"/>
      <c r="E103" s="629">
        <v>683</v>
      </c>
      <c r="F103" s="629">
        <v>5354</v>
      </c>
      <c r="G103" s="629">
        <v>13538</v>
      </c>
      <c r="H103" s="629">
        <v>13993</v>
      </c>
      <c r="I103" s="629">
        <v>9924</v>
      </c>
      <c r="J103" s="629">
        <v>6724</v>
      </c>
      <c r="K103" s="629">
        <v>4960</v>
      </c>
      <c r="L103" s="629">
        <v>656</v>
      </c>
      <c r="M103" s="627">
        <v>55832</v>
      </c>
      <c r="N103" s="322"/>
      <c r="O103" s="323">
        <v>65</v>
      </c>
      <c r="P103" s="323">
        <v>136</v>
      </c>
      <c r="Q103" s="323">
        <v>213</v>
      </c>
      <c r="R103" s="323">
        <v>140</v>
      </c>
      <c r="S103" s="323">
        <v>113</v>
      </c>
      <c r="T103" s="323">
        <v>61</v>
      </c>
      <c r="U103" s="323">
        <v>54</v>
      </c>
      <c r="V103" s="323">
        <v>10</v>
      </c>
      <c r="W103" s="323">
        <v>792</v>
      </c>
      <c r="X103" s="329" t="s">
        <v>934</v>
      </c>
      <c r="Y103" s="330">
        <v>1</v>
      </c>
      <c r="Z103" s="330">
        <v>0</v>
      </c>
      <c r="AA103" s="330">
        <v>0</v>
      </c>
      <c r="AB103" s="330">
        <v>0</v>
      </c>
      <c r="AC103" s="330">
        <v>0</v>
      </c>
      <c r="AD103" s="330">
        <v>1</v>
      </c>
      <c r="AE103" s="330">
        <v>0</v>
      </c>
      <c r="AF103" s="330">
        <v>0</v>
      </c>
      <c r="AG103" s="328">
        <v>2</v>
      </c>
      <c r="AH103" s="329" t="s">
        <v>934</v>
      </c>
      <c r="AI103" s="184">
        <v>1</v>
      </c>
      <c r="AJ103" s="184">
        <v>9</v>
      </c>
      <c r="AK103" s="184">
        <v>46</v>
      </c>
      <c r="AL103" s="184">
        <v>59</v>
      </c>
      <c r="AM103" s="184">
        <v>56</v>
      </c>
      <c r="AN103" s="184">
        <v>55</v>
      </c>
      <c r="AO103" s="184">
        <v>33</v>
      </c>
      <c r="AP103" s="184">
        <v>22</v>
      </c>
      <c r="AQ103" s="336">
        <v>281</v>
      </c>
      <c r="AR103" s="323">
        <v>0</v>
      </c>
      <c r="AS103" s="323">
        <v>366</v>
      </c>
      <c r="AT103" s="323">
        <v>3171</v>
      </c>
      <c r="AU103" s="323">
        <v>5516</v>
      </c>
      <c r="AV103" s="323">
        <v>3935</v>
      </c>
      <c r="AW103" s="323">
        <v>2016</v>
      </c>
      <c r="AX103" s="323">
        <v>990</v>
      </c>
      <c r="AY103" s="323">
        <v>576</v>
      </c>
      <c r="AZ103" s="323">
        <v>57</v>
      </c>
      <c r="BA103" s="323">
        <v>16627</v>
      </c>
      <c r="BB103" s="331">
        <v>0</v>
      </c>
      <c r="BC103" s="330">
        <v>1</v>
      </c>
      <c r="BD103" s="330">
        <v>15</v>
      </c>
      <c r="BE103" s="330">
        <v>60</v>
      </c>
      <c r="BF103" s="330">
        <v>67</v>
      </c>
      <c r="BG103" s="330">
        <v>28</v>
      </c>
      <c r="BH103" s="330">
        <v>22</v>
      </c>
      <c r="BI103" s="330">
        <v>18</v>
      </c>
      <c r="BJ103" s="330">
        <v>0</v>
      </c>
      <c r="BK103" s="328">
        <v>211</v>
      </c>
      <c r="BL103" s="323">
        <v>0</v>
      </c>
      <c r="BM103" s="323">
        <v>0</v>
      </c>
      <c r="BN103" s="323">
        <v>2</v>
      </c>
      <c r="BO103" s="323">
        <v>6</v>
      </c>
      <c r="BP103" s="323">
        <v>7</v>
      </c>
      <c r="BQ103" s="323">
        <v>1</v>
      </c>
      <c r="BR103" s="323">
        <v>12</v>
      </c>
      <c r="BS103" s="323">
        <v>18</v>
      </c>
      <c r="BT103" s="323">
        <v>2</v>
      </c>
      <c r="BU103" s="323">
        <v>48</v>
      </c>
      <c r="BV103" s="329" t="s">
        <v>934</v>
      </c>
      <c r="BW103" s="330">
        <v>11</v>
      </c>
      <c r="BX103" s="330">
        <v>22</v>
      </c>
      <c r="BY103" s="330">
        <v>45</v>
      </c>
      <c r="BZ103" s="330">
        <v>27</v>
      </c>
      <c r="CA103" s="330">
        <v>20</v>
      </c>
      <c r="CB103" s="330">
        <v>12</v>
      </c>
      <c r="CC103" s="330">
        <v>16</v>
      </c>
      <c r="CD103" s="330">
        <v>8</v>
      </c>
      <c r="CE103" s="328">
        <v>161</v>
      </c>
      <c r="CF103" s="322" t="s">
        <v>934</v>
      </c>
      <c r="CG103" s="323">
        <v>43</v>
      </c>
      <c r="CH103" s="323">
        <v>101</v>
      </c>
      <c r="CI103" s="323">
        <v>140</v>
      </c>
      <c r="CJ103" s="323">
        <v>104</v>
      </c>
      <c r="CK103" s="323">
        <v>88</v>
      </c>
      <c r="CL103" s="323">
        <v>39</v>
      </c>
      <c r="CM103" s="323">
        <v>38</v>
      </c>
      <c r="CN103" s="323">
        <v>13</v>
      </c>
      <c r="CO103" s="323">
        <v>566</v>
      </c>
      <c r="CP103" s="329" t="s">
        <v>934</v>
      </c>
      <c r="CQ103" s="330">
        <v>0</v>
      </c>
      <c r="CR103" s="330">
        <v>0</v>
      </c>
      <c r="CS103" s="330">
        <v>0</v>
      </c>
      <c r="CT103" s="330">
        <v>0</v>
      </c>
      <c r="CU103" s="330">
        <v>0</v>
      </c>
      <c r="CV103" s="330">
        <v>0</v>
      </c>
      <c r="CW103" s="330">
        <v>0</v>
      </c>
      <c r="CX103" s="330">
        <v>0</v>
      </c>
      <c r="CY103" s="328">
        <v>0</v>
      </c>
      <c r="CZ103" s="322" t="s">
        <v>934</v>
      </c>
      <c r="DA103" s="323">
        <v>0</v>
      </c>
      <c r="DB103" s="323">
        <v>0</v>
      </c>
      <c r="DC103" s="323">
        <v>0</v>
      </c>
      <c r="DD103" s="323">
        <v>0</v>
      </c>
      <c r="DE103" s="323">
        <v>0</v>
      </c>
      <c r="DF103" s="323">
        <v>0</v>
      </c>
      <c r="DG103" s="323">
        <v>0</v>
      </c>
      <c r="DH103" s="323">
        <v>0</v>
      </c>
      <c r="DI103" s="323">
        <v>0</v>
      </c>
      <c r="DJ103" s="337">
        <v>0</v>
      </c>
      <c r="DK103" s="644">
        <v>56596</v>
      </c>
      <c r="DL103" s="616">
        <v>759</v>
      </c>
      <c r="DM103" s="616">
        <v>5506</v>
      </c>
      <c r="DN103" s="616">
        <v>13808</v>
      </c>
      <c r="DO103" s="616">
        <v>14104</v>
      </c>
      <c r="DP103" s="616">
        <v>9959</v>
      </c>
      <c r="DQ103" s="616">
        <v>6801</v>
      </c>
      <c r="DR103" s="616">
        <v>5001</v>
      </c>
      <c r="DS103" s="617">
        <v>681</v>
      </c>
      <c r="DT103" s="607">
        <f t="shared" si="1"/>
        <v>56619</v>
      </c>
      <c r="DU103" s="342"/>
      <c r="EC103" s="646"/>
      <c r="EF103" s="125"/>
      <c r="EG103" s="124"/>
    </row>
    <row r="104" spans="1:137" ht="15">
      <c r="A104" s="22">
        <v>96</v>
      </c>
      <c r="B104" s="23" t="s">
        <v>322</v>
      </c>
      <c r="C104" s="24" t="s">
        <v>323</v>
      </c>
      <c r="D104" s="613"/>
      <c r="E104" s="630">
        <v>24595</v>
      </c>
      <c r="F104" s="630">
        <v>12663</v>
      </c>
      <c r="G104" s="630">
        <v>15596</v>
      </c>
      <c r="H104" s="630">
        <v>5822</v>
      </c>
      <c r="I104" s="630">
        <v>2949</v>
      </c>
      <c r="J104" s="630">
        <v>1010</v>
      </c>
      <c r="K104" s="630">
        <v>494</v>
      </c>
      <c r="L104" s="630">
        <v>54</v>
      </c>
      <c r="M104" s="627">
        <v>63183</v>
      </c>
      <c r="N104" s="322"/>
      <c r="O104" s="323">
        <v>1186</v>
      </c>
      <c r="P104" s="323">
        <v>386</v>
      </c>
      <c r="Q104" s="323">
        <v>301</v>
      </c>
      <c r="R104" s="323">
        <v>94</v>
      </c>
      <c r="S104" s="323">
        <v>37</v>
      </c>
      <c r="T104" s="323">
        <v>16</v>
      </c>
      <c r="U104" s="323">
        <v>5</v>
      </c>
      <c r="V104" s="323">
        <v>9</v>
      </c>
      <c r="W104" s="323">
        <v>2034</v>
      </c>
      <c r="X104" s="329" t="s">
        <v>934</v>
      </c>
      <c r="Y104" s="330">
        <v>5</v>
      </c>
      <c r="Z104" s="330">
        <v>0</v>
      </c>
      <c r="AA104" s="330">
        <v>3</v>
      </c>
      <c r="AB104" s="330">
        <v>0</v>
      </c>
      <c r="AC104" s="330">
        <v>0</v>
      </c>
      <c r="AD104" s="330">
        <v>0</v>
      </c>
      <c r="AE104" s="330">
        <v>0</v>
      </c>
      <c r="AF104" s="330">
        <v>0</v>
      </c>
      <c r="AG104" s="328">
        <v>8</v>
      </c>
      <c r="AH104" s="329" t="s">
        <v>934</v>
      </c>
      <c r="AI104" s="184">
        <v>33</v>
      </c>
      <c r="AJ104" s="184">
        <v>76</v>
      </c>
      <c r="AK104" s="184">
        <v>148</v>
      </c>
      <c r="AL104" s="184">
        <v>67</v>
      </c>
      <c r="AM104" s="184">
        <v>36</v>
      </c>
      <c r="AN104" s="184">
        <v>15</v>
      </c>
      <c r="AO104" s="184">
        <v>41</v>
      </c>
      <c r="AP104" s="184">
        <v>16</v>
      </c>
      <c r="AQ104" s="336">
        <v>432</v>
      </c>
      <c r="AR104" s="323">
        <v>5</v>
      </c>
      <c r="AS104" s="323">
        <v>9473</v>
      </c>
      <c r="AT104" s="323">
        <v>3549</v>
      </c>
      <c r="AU104" s="323">
        <v>3674</v>
      </c>
      <c r="AV104" s="323">
        <v>1031</v>
      </c>
      <c r="AW104" s="323">
        <v>436</v>
      </c>
      <c r="AX104" s="323">
        <v>119</v>
      </c>
      <c r="AY104" s="323">
        <v>45</v>
      </c>
      <c r="AZ104" s="323">
        <v>4</v>
      </c>
      <c r="BA104" s="323">
        <v>18336</v>
      </c>
      <c r="BB104" s="331">
        <v>0</v>
      </c>
      <c r="BC104" s="330">
        <v>101</v>
      </c>
      <c r="BD104" s="330">
        <v>74</v>
      </c>
      <c r="BE104" s="330">
        <v>75</v>
      </c>
      <c r="BF104" s="330">
        <v>33</v>
      </c>
      <c r="BG104" s="330">
        <v>12</v>
      </c>
      <c r="BH104" s="330">
        <v>3</v>
      </c>
      <c r="BI104" s="330">
        <v>4</v>
      </c>
      <c r="BJ104" s="330">
        <v>0</v>
      </c>
      <c r="BK104" s="328">
        <v>302</v>
      </c>
      <c r="BL104" s="323">
        <v>0</v>
      </c>
      <c r="BM104" s="323">
        <v>4</v>
      </c>
      <c r="BN104" s="323">
        <v>11</v>
      </c>
      <c r="BO104" s="323">
        <v>20</v>
      </c>
      <c r="BP104" s="323">
        <v>6</v>
      </c>
      <c r="BQ104" s="323">
        <v>14</v>
      </c>
      <c r="BR104" s="323">
        <v>39</v>
      </c>
      <c r="BS104" s="323">
        <v>19</v>
      </c>
      <c r="BT104" s="323">
        <v>1</v>
      </c>
      <c r="BU104" s="323">
        <v>114</v>
      </c>
      <c r="BV104" s="329" t="s">
        <v>934</v>
      </c>
      <c r="BW104" s="330">
        <v>1066</v>
      </c>
      <c r="BX104" s="330">
        <v>247</v>
      </c>
      <c r="BY104" s="330">
        <v>276</v>
      </c>
      <c r="BZ104" s="330">
        <v>81</v>
      </c>
      <c r="CA104" s="330">
        <v>36</v>
      </c>
      <c r="CB104" s="330">
        <v>17</v>
      </c>
      <c r="CC104" s="330">
        <v>9</v>
      </c>
      <c r="CD104" s="330">
        <v>1</v>
      </c>
      <c r="CE104" s="328">
        <v>1733</v>
      </c>
      <c r="CF104" s="322" t="s">
        <v>934</v>
      </c>
      <c r="CG104" s="323">
        <v>584</v>
      </c>
      <c r="CH104" s="323">
        <v>195</v>
      </c>
      <c r="CI104" s="323">
        <v>232</v>
      </c>
      <c r="CJ104" s="323">
        <v>66</v>
      </c>
      <c r="CK104" s="323">
        <v>36</v>
      </c>
      <c r="CL104" s="323">
        <v>12</v>
      </c>
      <c r="CM104" s="323">
        <v>5</v>
      </c>
      <c r="CN104" s="323">
        <v>0</v>
      </c>
      <c r="CO104" s="323">
        <v>1130</v>
      </c>
      <c r="CP104" s="329" t="s">
        <v>934</v>
      </c>
      <c r="CQ104" s="330">
        <v>0</v>
      </c>
      <c r="CR104" s="330">
        <v>0</v>
      </c>
      <c r="CS104" s="330">
        <v>0</v>
      </c>
      <c r="CT104" s="330">
        <v>0</v>
      </c>
      <c r="CU104" s="330">
        <v>0</v>
      </c>
      <c r="CV104" s="330">
        <v>0</v>
      </c>
      <c r="CW104" s="330">
        <v>0</v>
      </c>
      <c r="CX104" s="330">
        <v>0</v>
      </c>
      <c r="CY104" s="328">
        <v>0</v>
      </c>
      <c r="CZ104" s="322" t="s">
        <v>934</v>
      </c>
      <c r="DA104" s="323">
        <v>0</v>
      </c>
      <c r="DB104" s="323">
        <v>0</v>
      </c>
      <c r="DC104" s="323">
        <v>0</v>
      </c>
      <c r="DD104" s="323">
        <v>0</v>
      </c>
      <c r="DE104" s="323">
        <v>0</v>
      </c>
      <c r="DF104" s="323">
        <v>0</v>
      </c>
      <c r="DG104" s="323">
        <v>0</v>
      </c>
      <c r="DH104" s="323">
        <v>0</v>
      </c>
      <c r="DI104" s="323">
        <v>0</v>
      </c>
      <c r="DJ104" s="337">
        <v>245.9</v>
      </c>
      <c r="DK104" s="644">
        <v>45781.6</v>
      </c>
      <c r="DL104" s="614">
        <v>25004</v>
      </c>
      <c r="DM104" s="614">
        <v>12812</v>
      </c>
      <c r="DN104" s="614">
        <v>15648</v>
      </c>
      <c r="DO104" s="614">
        <v>5869</v>
      </c>
      <c r="DP104" s="614">
        <v>2982</v>
      </c>
      <c r="DQ104" s="614">
        <v>1018</v>
      </c>
      <c r="DR104" s="614">
        <v>501</v>
      </c>
      <c r="DS104" s="615">
        <v>55</v>
      </c>
      <c r="DT104" s="607">
        <f t="shared" si="1"/>
        <v>63889</v>
      </c>
      <c r="DU104" s="342"/>
      <c r="EC104" s="646"/>
      <c r="EF104" s="127"/>
      <c r="EG104" s="124"/>
    </row>
    <row r="105" spans="1:137" ht="15">
      <c r="A105" s="22">
        <v>97</v>
      </c>
      <c r="B105" s="23" t="s">
        <v>324</v>
      </c>
      <c r="C105" s="24" t="s">
        <v>325</v>
      </c>
      <c r="D105" s="613"/>
      <c r="E105" s="630">
        <v>8977</v>
      </c>
      <c r="F105" s="630">
        <v>9715</v>
      </c>
      <c r="G105" s="630">
        <v>5592</v>
      </c>
      <c r="H105" s="630">
        <v>4447</v>
      </c>
      <c r="I105" s="630">
        <v>3495</v>
      </c>
      <c r="J105" s="630">
        <v>2051</v>
      </c>
      <c r="K105" s="630">
        <v>1262</v>
      </c>
      <c r="L105" s="630">
        <v>115</v>
      </c>
      <c r="M105" s="627">
        <v>35654</v>
      </c>
      <c r="N105" s="322"/>
      <c r="O105" s="323">
        <v>296</v>
      </c>
      <c r="P105" s="323">
        <v>174</v>
      </c>
      <c r="Q105" s="323">
        <v>93</v>
      </c>
      <c r="R105" s="323">
        <v>101</v>
      </c>
      <c r="S105" s="323">
        <v>77</v>
      </c>
      <c r="T105" s="323">
        <v>52</v>
      </c>
      <c r="U105" s="323">
        <v>23</v>
      </c>
      <c r="V105" s="323">
        <v>0</v>
      </c>
      <c r="W105" s="323">
        <v>816</v>
      </c>
      <c r="X105" s="329" t="s">
        <v>934</v>
      </c>
      <c r="Y105" s="330">
        <v>2</v>
      </c>
      <c r="Z105" s="330">
        <v>1</v>
      </c>
      <c r="AA105" s="330">
        <v>1</v>
      </c>
      <c r="AB105" s="330">
        <v>3</v>
      </c>
      <c r="AC105" s="330">
        <v>0</v>
      </c>
      <c r="AD105" s="330">
        <v>0</v>
      </c>
      <c r="AE105" s="330">
        <v>0</v>
      </c>
      <c r="AF105" s="330">
        <v>0</v>
      </c>
      <c r="AG105" s="328">
        <v>7</v>
      </c>
      <c r="AH105" s="329" t="s">
        <v>934</v>
      </c>
      <c r="AI105" s="184">
        <v>6</v>
      </c>
      <c r="AJ105" s="184">
        <v>24</v>
      </c>
      <c r="AK105" s="184">
        <v>28</v>
      </c>
      <c r="AL105" s="184">
        <v>20</v>
      </c>
      <c r="AM105" s="184">
        <v>23</v>
      </c>
      <c r="AN105" s="184">
        <v>20</v>
      </c>
      <c r="AO105" s="184">
        <v>15</v>
      </c>
      <c r="AP105" s="184">
        <v>3</v>
      </c>
      <c r="AQ105" s="336">
        <v>139</v>
      </c>
      <c r="AR105" s="323">
        <v>2</v>
      </c>
      <c r="AS105" s="323">
        <v>4169</v>
      </c>
      <c r="AT105" s="323">
        <v>3230</v>
      </c>
      <c r="AU105" s="323">
        <v>1455</v>
      </c>
      <c r="AV105" s="323">
        <v>797</v>
      </c>
      <c r="AW105" s="323">
        <v>460</v>
      </c>
      <c r="AX105" s="323">
        <v>234</v>
      </c>
      <c r="AY105" s="323">
        <v>130</v>
      </c>
      <c r="AZ105" s="323">
        <v>5</v>
      </c>
      <c r="BA105" s="323">
        <v>10482</v>
      </c>
      <c r="BB105" s="331">
        <v>0</v>
      </c>
      <c r="BC105" s="330">
        <v>35</v>
      </c>
      <c r="BD105" s="330">
        <v>36</v>
      </c>
      <c r="BE105" s="330">
        <v>18</v>
      </c>
      <c r="BF105" s="330">
        <v>22</v>
      </c>
      <c r="BG105" s="330">
        <v>13</v>
      </c>
      <c r="BH105" s="330">
        <v>11</v>
      </c>
      <c r="BI105" s="330">
        <v>6</v>
      </c>
      <c r="BJ105" s="330">
        <v>0</v>
      </c>
      <c r="BK105" s="328">
        <v>141</v>
      </c>
      <c r="BL105" s="323">
        <v>0</v>
      </c>
      <c r="BM105" s="323">
        <v>6</v>
      </c>
      <c r="BN105" s="323">
        <v>2</v>
      </c>
      <c r="BO105" s="323">
        <v>4</v>
      </c>
      <c r="BP105" s="323">
        <v>3</v>
      </c>
      <c r="BQ105" s="323">
        <v>9</v>
      </c>
      <c r="BR105" s="323">
        <v>11</v>
      </c>
      <c r="BS105" s="323">
        <v>5</v>
      </c>
      <c r="BT105" s="323">
        <v>1</v>
      </c>
      <c r="BU105" s="323">
        <v>41</v>
      </c>
      <c r="BV105" s="329" t="s">
        <v>934</v>
      </c>
      <c r="BW105" s="330">
        <v>9</v>
      </c>
      <c r="BX105" s="330">
        <v>8</v>
      </c>
      <c r="BY105" s="330">
        <v>10</v>
      </c>
      <c r="BZ105" s="330">
        <v>10</v>
      </c>
      <c r="CA105" s="330">
        <v>5</v>
      </c>
      <c r="CB105" s="330">
        <v>7</v>
      </c>
      <c r="CC105" s="330">
        <v>3</v>
      </c>
      <c r="CD105" s="330">
        <v>0</v>
      </c>
      <c r="CE105" s="328">
        <v>52</v>
      </c>
      <c r="CF105" s="322" t="s">
        <v>934</v>
      </c>
      <c r="CG105" s="323">
        <v>211</v>
      </c>
      <c r="CH105" s="323">
        <v>116</v>
      </c>
      <c r="CI105" s="323">
        <v>85</v>
      </c>
      <c r="CJ105" s="323">
        <v>68</v>
      </c>
      <c r="CK105" s="323">
        <v>42</v>
      </c>
      <c r="CL105" s="323">
        <v>24</v>
      </c>
      <c r="CM105" s="323">
        <v>33</v>
      </c>
      <c r="CN105" s="323">
        <v>6</v>
      </c>
      <c r="CO105" s="323">
        <v>585</v>
      </c>
      <c r="CP105" s="329" t="s">
        <v>934</v>
      </c>
      <c r="CQ105" s="330">
        <v>0</v>
      </c>
      <c r="CR105" s="330">
        <v>0</v>
      </c>
      <c r="CS105" s="330">
        <v>0</v>
      </c>
      <c r="CT105" s="330">
        <v>0</v>
      </c>
      <c r="CU105" s="330">
        <v>0</v>
      </c>
      <c r="CV105" s="330">
        <v>0</v>
      </c>
      <c r="CW105" s="330">
        <v>0</v>
      </c>
      <c r="CX105" s="330">
        <v>0</v>
      </c>
      <c r="CY105" s="328">
        <v>0</v>
      </c>
      <c r="CZ105" s="322" t="s">
        <v>934</v>
      </c>
      <c r="DA105" s="323">
        <v>0</v>
      </c>
      <c r="DB105" s="323">
        <v>0</v>
      </c>
      <c r="DC105" s="323">
        <v>0</v>
      </c>
      <c r="DD105" s="323">
        <v>0</v>
      </c>
      <c r="DE105" s="323">
        <v>0</v>
      </c>
      <c r="DF105" s="323">
        <v>0</v>
      </c>
      <c r="DG105" s="323">
        <v>0</v>
      </c>
      <c r="DH105" s="323">
        <v>0</v>
      </c>
      <c r="DI105" s="323">
        <v>0</v>
      </c>
      <c r="DJ105" s="337">
        <v>0</v>
      </c>
      <c r="DK105" s="644">
        <v>29298.9</v>
      </c>
      <c r="DL105" s="614">
        <v>9055</v>
      </c>
      <c r="DM105" s="614">
        <v>9823</v>
      </c>
      <c r="DN105" s="614">
        <v>5765</v>
      </c>
      <c r="DO105" s="614">
        <v>4575</v>
      </c>
      <c r="DP105" s="614">
        <v>3550</v>
      </c>
      <c r="DQ105" s="614">
        <v>2098</v>
      </c>
      <c r="DR105" s="614">
        <v>1294</v>
      </c>
      <c r="DS105" s="615">
        <v>119</v>
      </c>
      <c r="DT105" s="607">
        <f t="shared" si="1"/>
        <v>36279</v>
      </c>
      <c r="DU105" s="342"/>
      <c r="EC105" s="646"/>
      <c r="EF105" s="127"/>
      <c r="EG105" s="124"/>
    </row>
    <row r="106" spans="1:137" ht="15">
      <c r="A106" s="22">
        <v>98</v>
      </c>
      <c r="B106" s="23" t="s">
        <v>326</v>
      </c>
      <c r="C106" s="24" t="s">
        <v>327</v>
      </c>
      <c r="D106" s="613"/>
      <c r="E106" s="626">
        <v>38593</v>
      </c>
      <c r="F106" s="626">
        <v>33574</v>
      </c>
      <c r="G106" s="626">
        <v>28675</v>
      </c>
      <c r="H106" s="626">
        <v>22072</v>
      </c>
      <c r="I106" s="626">
        <v>13993</v>
      </c>
      <c r="J106" s="626">
        <v>5994</v>
      </c>
      <c r="K106" s="626">
        <v>2881</v>
      </c>
      <c r="L106" s="626">
        <v>229</v>
      </c>
      <c r="M106" s="627">
        <v>146011</v>
      </c>
      <c r="N106" s="322"/>
      <c r="O106" s="323">
        <v>1405</v>
      </c>
      <c r="P106" s="323">
        <v>866</v>
      </c>
      <c r="Q106" s="323">
        <v>614</v>
      </c>
      <c r="R106" s="323">
        <v>354</v>
      </c>
      <c r="S106" s="323">
        <v>190</v>
      </c>
      <c r="T106" s="323">
        <v>79</v>
      </c>
      <c r="U106" s="323">
        <v>47</v>
      </c>
      <c r="V106" s="323">
        <v>16</v>
      </c>
      <c r="W106" s="323">
        <v>3571</v>
      </c>
      <c r="X106" s="331">
        <v>0</v>
      </c>
      <c r="Y106" s="330">
        <v>31</v>
      </c>
      <c r="Z106" s="330">
        <v>3</v>
      </c>
      <c r="AA106" s="330">
        <v>5</v>
      </c>
      <c r="AB106" s="330">
        <v>2</v>
      </c>
      <c r="AC106" s="330">
        <v>0</v>
      </c>
      <c r="AD106" s="330">
        <v>0</v>
      </c>
      <c r="AE106" s="330">
        <v>1</v>
      </c>
      <c r="AF106" s="330">
        <v>0</v>
      </c>
      <c r="AG106" s="328">
        <v>42</v>
      </c>
      <c r="AH106" s="331">
        <v>0</v>
      </c>
      <c r="AI106" s="184">
        <v>129</v>
      </c>
      <c r="AJ106" s="184">
        <v>217</v>
      </c>
      <c r="AK106" s="184">
        <v>224</v>
      </c>
      <c r="AL106" s="184">
        <v>212</v>
      </c>
      <c r="AM106" s="184">
        <v>145</v>
      </c>
      <c r="AN106" s="184">
        <v>56</v>
      </c>
      <c r="AO106" s="184">
        <v>78</v>
      </c>
      <c r="AP106" s="184">
        <v>33</v>
      </c>
      <c r="AQ106" s="336">
        <v>1094</v>
      </c>
      <c r="AR106" s="323">
        <v>32</v>
      </c>
      <c r="AS106" s="323">
        <v>17377</v>
      </c>
      <c r="AT106" s="323">
        <v>11321</v>
      </c>
      <c r="AU106" s="323">
        <v>7753</v>
      </c>
      <c r="AV106" s="323">
        <v>4467</v>
      </c>
      <c r="AW106" s="323">
        <v>1980</v>
      </c>
      <c r="AX106" s="323">
        <v>766</v>
      </c>
      <c r="AY106" s="323">
        <v>339</v>
      </c>
      <c r="AZ106" s="323">
        <v>16</v>
      </c>
      <c r="BA106" s="323">
        <v>44051</v>
      </c>
      <c r="BB106" s="331">
        <v>5</v>
      </c>
      <c r="BC106" s="330">
        <v>168</v>
      </c>
      <c r="BD106" s="330">
        <v>203</v>
      </c>
      <c r="BE106" s="330">
        <v>133</v>
      </c>
      <c r="BF106" s="330">
        <v>106</v>
      </c>
      <c r="BG106" s="330">
        <v>66</v>
      </c>
      <c r="BH106" s="330">
        <v>18</v>
      </c>
      <c r="BI106" s="330">
        <v>10</v>
      </c>
      <c r="BJ106" s="330">
        <v>0</v>
      </c>
      <c r="BK106" s="328">
        <v>709</v>
      </c>
      <c r="BL106" s="323">
        <v>1</v>
      </c>
      <c r="BM106" s="323">
        <v>33</v>
      </c>
      <c r="BN106" s="323">
        <v>26</v>
      </c>
      <c r="BO106" s="323">
        <v>18</v>
      </c>
      <c r="BP106" s="323">
        <v>27</v>
      </c>
      <c r="BQ106" s="323">
        <v>31</v>
      </c>
      <c r="BR106" s="323">
        <v>59</v>
      </c>
      <c r="BS106" s="323">
        <v>43</v>
      </c>
      <c r="BT106" s="323">
        <v>7</v>
      </c>
      <c r="BU106" s="323">
        <v>245</v>
      </c>
      <c r="BV106" s="331">
        <v>0</v>
      </c>
      <c r="BW106" s="330">
        <v>730</v>
      </c>
      <c r="BX106" s="330">
        <v>339</v>
      </c>
      <c r="BY106" s="330">
        <v>307</v>
      </c>
      <c r="BZ106" s="330">
        <v>165</v>
      </c>
      <c r="CA106" s="330">
        <v>100</v>
      </c>
      <c r="CB106" s="330">
        <v>32</v>
      </c>
      <c r="CC106" s="330">
        <v>20</v>
      </c>
      <c r="CD106" s="330">
        <v>5</v>
      </c>
      <c r="CE106" s="328">
        <v>1698</v>
      </c>
      <c r="CF106" s="323">
        <v>0</v>
      </c>
      <c r="CG106" s="323">
        <v>27</v>
      </c>
      <c r="CH106" s="323">
        <v>30</v>
      </c>
      <c r="CI106" s="323">
        <v>21</v>
      </c>
      <c r="CJ106" s="323">
        <v>16</v>
      </c>
      <c r="CK106" s="323">
        <v>12</v>
      </c>
      <c r="CL106" s="323">
        <v>4</v>
      </c>
      <c r="CM106" s="323">
        <v>1</v>
      </c>
      <c r="CN106" s="323">
        <v>1</v>
      </c>
      <c r="CO106" s="323">
        <v>112</v>
      </c>
      <c r="CP106" s="331">
        <v>0</v>
      </c>
      <c r="CQ106" s="330">
        <v>794</v>
      </c>
      <c r="CR106" s="330">
        <v>337</v>
      </c>
      <c r="CS106" s="330">
        <v>259</v>
      </c>
      <c r="CT106" s="330">
        <v>146</v>
      </c>
      <c r="CU106" s="330">
        <v>111</v>
      </c>
      <c r="CV106" s="330">
        <v>47</v>
      </c>
      <c r="CW106" s="330">
        <v>36</v>
      </c>
      <c r="CX106" s="330">
        <v>3</v>
      </c>
      <c r="CY106" s="328">
        <v>1733</v>
      </c>
      <c r="CZ106" s="323">
        <v>0</v>
      </c>
      <c r="DA106" s="323">
        <v>0</v>
      </c>
      <c r="DB106" s="323">
        <v>0</v>
      </c>
      <c r="DC106" s="323">
        <v>0</v>
      </c>
      <c r="DD106" s="323">
        <v>0</v>
      </c>
      <c r="DE106" s="323">
        <v>0</v>
      </c>
      <c r="DF106" s="323">
        <v>0</v>
      </c>
      <c r="DG106" s="323">
        <v>0</v>
      </c>
      <c r="DH106" s="323">
        <v>0</v>
      </c>
      <c r="DI106" s="323">
        <v>0</v>
      </c>
      <c r="DJ106" s="337">
        <v>100.6</v>
      </c>
      <c r="DK106" s="644">
        <v>117341.1</v>
      </c>
      <c r="DL106" s="614">
        <v>38745</v>
      </c>
      <c r="DM106" s="614">
        <v>33882</v>
      </c>
      <c r="DN106" s="614">
        <v>28926</v>
      </c>
      <c r="DO106" s="614">
        <v>22249</v>
      </c>
      <c r="DP106" s="614">
        <v>14100</v>
      </c>
      <c r="DQ106" s="614">
        <v>6098</v>
      </c>
      <c r="DR106" s="614">
        <v>2915</v>
      </c>
      <c r="DS106" s="615">
        <v>229</v>
      </c>
      <c r="DT106" s="607">
        <f t="shared" si="1"/>
        <v>147144</v>
      </c>
      <c r="DU106" s="342"/>
      <c r="EC106" s="646"/>
      <c r="EF106" s="123"/>
      <c r="EG106" s="124"/>
    </row>
    <row r="107" spans="1:137" ht="15">
      <c r="A107" s="22">
        <v>99</v>
      </c>
      <c r="B107" s="23" t="s">
        <v>328</v>
      </c>
      <c r="C107" s="24" t="s">
        <v>329</v>
      </c>
      <c r="D107" s="613"/>
      <c r="E107" s="628">
        <v>16967</v>
      </c>
      <c r="F107" s="628">
        <v>9538</v>
      </c>
      <c r="G107" s="628">
        <v>7423</v>
      </c>
      <c r="H107" s="628">
        <v>5427</v>
      </c>
      <c r="I107" s="628">
        <v>3779</v>
      </c>
      <c r="J107" s="628">
        <v>1953</v>
      </c>
      <c r="K107" s="628">
        <v>1082</v>
      </c>
      <c r="L107" s="628">
        <v>91</v>
      </c>
      <c r="M107" s="627">
        <v>46260</v>
      </c>
      <c r="N107" s="322"/>
      <c r="O107" s="323">
        <v>662</v>
      </c>
      <c r="P107" s="323">
        <v>218</v>
      </c>
      <c r="Q107" s="323">
        <v>141</v>
      </c>
      <c r="R107" s="323">
        <v>86</v>
      </c>
      <c r="S107" s="323">
        <v>49</v>
      </c>
      <c r="T107" s="323">
        <v>20</v>
      </c>
      <c r="U107" s="323">
        <v>14</v>
      </c>
      <c r="V107" s="323">
        <v>2</v>
      </c>
      <c r="W107" s="323">
        <v>1192</v>
      </c>
      <c r="X107" s="329" t="s">
        <v>934</v>
      </c>
      <c r="Y107" s="330">
        <v>0</v>
      </c>
      <c r="Z107" s="330">
        <v>0</v>
      </c>
      <c r="AA107" s="330">
        <v>0</v>
      </c>
      <c r="AB107" s="330">
        <v>0</v>
      </c>
      <c r="AC107" s="330">
        <v>0</v>
      </c>
      <c r="AD107" s="330">
        <v>0</v>
      </c>
      <c r="AE107" s="330">
        <v>0</v>
      </c>
      <c r="AF107" s="330">
        <v>0</v>
      </c>
      <c r="AG107" s="328">
        <v>0</v>
      </c>
      <c r="AH107" s="329" t="s">
        <v>934</v>
      </c>
      <c r="AI107" s="184">
        <v>57</v>
      </c>
      <c r="AJ107" s="184">
        <v>106</v>
      </c>
      <c r="AK107" s="184">
        <v>53</v>
      </c>
      <c r="AL107" s="184">
        <v>47</v>
      </c>
      <c r="AM107" s="184">
        <v>30</v>
      </c>
      <c r="AN107" s="184">
        <v>18</v>
      </c>
      <c r="AO107" s="184">
        <v>22</v>
      </c>
      <c r="AP107" s="184">
        <v>19</v>
      </c>
      <c r="AQ107" s="336">
        <v>352</v>
      </c>
      <c r="AR107" s="323">
        <v>14</v>
      </c>
      <c r="AS107" s="323">
        <v>7314</v>
      </c>
      <c r="AT107" s="323">
        <v>3191</v>
      </c>
      <c r="AU107" s="323">
        <v>2026</v>
      </c>
      <c r="AV107" s="323">
        <v>1076</v>
      </c>
      <c r="AW107" s="323">
        <v>596</v>
      </c>
      <c r="AX107" s="323">
        <v>281</v>
      </c>
      <c r="AY107" s="323">
        <v>99</v>
      </c>
      <c r="AZ107" s="323">
        <v>10</v>
      </c>
      <c r="BA107" s="323">
        <v>14607</v>
      </c>
      <c r="BB107" s="331">
        <v>0</v>
      </c>
      <c r="BC107" s="330">
        <v>129</v>
      </c>
      <c r="BD107" s="330">
        <v>75</v>
      </c>
      <c r="BE107" s="330">
        <v>50</v>
      </c>
      <c r="BF107" s="330">
        <v>48</v>
      </c>
      <c r="BG107" s="330">
        <v>22</v>
      </c>
      <c r="BH107" s="330">
        <v>9</v>
      </c>
      <c r="BI107" s="330">
        <v>6</v>
      </c>
      <c r="BJ107" s="330">
        <v>0</v>
      </c>
      <c r="BK107" s="328">
        <v>339</v>
      </c>
      <c r="BL107" s="323">
        <v>0</v>
      </c>
      <c r="BM107" s="323">
        <v>7</v>
      </c>
      <c r="BN107" s="323">
        <v>4</v>
      </c>
      <c r="BO107" s="323">
        <v>8</v>
      </c>
      <c r="BP107" s="323">
        <v>4</v>
      </c>
      <c r="BQ107" s="323">
        <v>4</v>
      </c>
      <c r="BR107" s="323">
        <v>10</v>
      </c>
      <c r="BS107" s="323">
        <v>19</v>
      </c>
      <c r="BT107" s="323">
        <v>1</v>
      </c>
      <c r="BU107" s="323">
        <v>57</v>
      </c>
      <c r="BV107" s="329" t="s">
        <v>934</v>
      </c>
      <c r="BW107" s="330">
        <v>59</v>
      </c>
      <c r="BX107" s="330">
        <v>25</v>
      </c>
      <c r="BY107" s="330">
        <v>34</v>
      </c>
      <c r="BZ107" s="330">
        <v>19</v>
      </c>
      <c r="CA107" s="330">
        <v>12</v>
      </c>
      <c r="CB107" s="330">
        <v>8</v>
      </c>
      <c r="CC107" s="330">
        <v>7</v>
      </c>
      <c r="CD107" s="330">
        <v>1</v>
      </c>
      <c r="CE107" s="328">
        <v>165</v>
      </c>
      <c r="CF107" s="322" t="s">
        <v>934</v>
      </c>
      <c r="CG107" s="323">
        <v>0</v>
      </c>
      <c r="CH107" s="323">
        <v>0</v>
      </c>
      <c r="CI107" s="323">
        <v>0</v>
      </c>
      <c r="CJ107" s="323">
        <v>0</v>
      </c>
      <c r="CK107" s="323">
        <v>0</v>
      </c>
      <c r="CL107" s="323">
        <v>0</v>
      </c>
      <c r="CM107" s="323">
        <v>0</v>
      </c>
      <c r="CN107" s="323">
        <v>0</v>
      </c>
      <c r="CO107" s="323">
        <v>0</v>
      </c>
      <c r="CP107" s="329" t="s">
        <v>934</v>
      </c>
      <c r="CQ107" s="330">
        <v>262</v>
      </c>
      <c r="CR107" s="330">
        <v>77</v>
      </c>
      <c r="CS107" s="330">
        <v>57</v>
      </c>
      <c r="CT107" s="330">
        <v>32</v>
      </c>
      <c r="CU107" s="330">
        <v>26</v>
      </c>
      <c r="CV107" s="330">
        <v>11</v>
      </c>
      <c r="CW107" s="330">
        <v>20</v>
      </c>
      <c r="CX107" s="330">
        <v>3</v>
      </c>
      <c r="CY107" s="328">
        <v>488</v>
      </c>
      <c r="CZ107" s="322" t="s">
        <v>934</v>
      </c>
      <c r="DA107" s="323">
        <v>0</v>
      </c>
      <c r="DB107" s="323">
        <v>0</v>
      </c>
      <c r="DC107" s="323">
        <v>0</v>
      </c>
      <c r="DD107" s="323">
        <v>0</v>
      </c>
      <c r="DE107" s="323">
        <v>0</v>
      </c>
      <c r="DF107" s="323">
        <v>0</v>
      </c>
      <c r="DG107" s="323">
        <v>0</v>
      </c>
      <c r="DH107" s="323">
        <v>0</v>
      </c>
      <c r="DI107" s="323">
        <v>0</v>
      </c>
      <c r="DJ107" s="337">
        <v>0</v>
      </c>
      <c r="DK107" s="644">
        <v>36118.7</v>
      </c>
      <c r="DL107" s="614">
        <v>17086</v>
      </c>
      <c r="DM107" s="614">
        <v>9896</v>
      </c>
      <c r="DN107" s="614">
        <v>7582</v>
      </c>
      <c r="DO107" s="614">
        <v>5473</v>
      </c>
      <c r="DP107" s="614">
        <v>3848</v>
      </c>
      <c r="DQ107" s="614">
        <v>1983</v>
      </c>
      <c r="DR107" s="614">
        <v>1083</v>
      </c>
      <c r="DS107" s="615">
        <v>88</v>
      </c>
      <c r="DT107" s="607">
        <f t="shared" si="1"/>
        <v>47039</v>
      </c>
      <c r="DU107" s="342"/>
      <c r="EC107" s="646"/>
      <c r="EF107" s="123"/>
      <c r="EG107" s="124"/>
    </row>
    <row r="108" spans="1:137" ht="15">
      <c r="A108" s="22">
        <v>100</v>
      </c>
      <c r="B108" s="23" t="s">
        <v>330</v>
      </c>
      <c r="C108" s="24" t="s">
        <v>331</v>
      </c>
      <c r="D108" s="613"/>
      <c r="E108" s="626">
        <v>7784</v>
      </c>
      <c r="F108" s="626">
        <v>12352</v>
      </c>
      <c r="G108" s="626">
        <v>10584</v>
      </c>
      <c r="H108" s="626">
        <v>8160</v>
      </c>
      <c r="I108" s="626">
        <v>4339</v>
      </c>
      <c r="J108" s="626">
        <v>1950</v>
      </c>
      <c r="K108" s="626">
        <v>1039</v>
      </c>
      <c r="L108" s="626">
        <v>79</v>
      </c>
      <c r="M108" s="627">
        <v>46287</v>
      </c>
      <c r="N108" s="322"/>
      <c r="O108" s="323">
        <v>407</v>
      </c>
      <c r="P108" s="323">
        <v>430</v>
      </c>
      <c r="Q108" s="323">
        <v>323</v>
      </c>
      <c r="R108" s="323">
        <v>228</v>
      </c>
      <c r="S108" s="323">
        <v>76</v>
      </c>
      <c r="T108" s="323">
        <v>40</v>
      </c>
      <c r="U108" s="323">
        <v>37</v>
      </c>
      <c r="V108" s="323">
        <v>8</v>
      </c>
      <c r="W108" s="323">
        <v>1549</v>
      </c>
      <c r="X108" s="329" t="s">
        <v>934</v>
      </c>
      <c r="Y108" s="330">
        <v>5</v>
      </c>
      <c r="Z108" s="330">
        <v>1</v>
      </c>
      <c r="AA108" s="330">
        <v>0</v>
      </c>
      <c r="AB108" s="330">
        <v>2</v>
      </c>
      <c r="AC108" s="330">
        <v>0</v>
      </c>
      <c r="AD108" s="330">
        <v>0</v>
      </c>
      <c r="AE108" s="330">
        <v>0</v>
      </c>
      <c r="AF108" s="330">
        <v>1</v>
      </c>
      <c r="AG108" s="328">
        <v>9</v>
      </c>
      <c r="AH108" s="329" t="s">
        <v>934</v>
      </c>
      <c r="AI108" s="184">
        <v>16</v>
      </c>
      <c r="AJ108" s="184">
        <v>67</v>
      </c>
      <c r="AK108" s="184">
        <v>64</v>
      </c>
      <c r="AL108" s="184">
        <v>67</v>
      </c>
      <c r="AM108" s="184">
        <v>38</v>
      </c>
      <c r="AN108" s="184">
        <v>21</v>
      </c>
      <c r="AO108" s="184">
        <v>25</v>
      </c>
      <c r="AP108" s="184">
        <v>30</v>
      </c>
      <c r="AQ108" s="336">
        <v>328</v>
      </c>
      <c r="AR108" s="323">
        <v>10</v>
      </c>
      <c r="AS108" s="323">
        <v>4635</v>
      </c>
      <c r="AT108" s="323">
        <v>5267</v>
      </c>
      <c r="AU108" s="323">
        <v>3858</v>
      </c>
      <c r="AV108" s="323">
        <v>2446</v>
      </c>
      <c r="AW108" s="323">
        <v>1040</v>
      </c>
      <c r="AX108" s="323">
        <v>429</v>
      </c>
      <c r="AY108" s="323">
        <v>169</v>
      </c>
      <c r="AZ108" s="323">
        <v>1</v>
      </c>
      <c r="BA108" s="323">
        <v>17855</v>
      </c>
      <c r="BB108" s="331">
        <v>0</v>
      </c>
      <c r="BC108" s="330">
        <v>44</v>
      </c>
      <c r="BD108" s="330">
        <v>87</v>
      </c>
      <c r="BE108" s="330">
        <v>89</v>
      </c>
      <c r="BF108" s="330">
        <v>46</v>
      </c>
      <c r="BG108" s="330">
        <v>23</v>
      </c>
      <c r="BH108" s="330">
        <v>6</v>
      </c>
      <c r="BI108" s="330">
        <v>8</v>
      </c>
      <c r="BJ108" s="330">
        <v>0</v>
      </c>
      <c r="BK108" s="328">
        <v>303</v>
      </c>
      <c r="BL108" s="323">
        <v>0</v>
      </c>
      <c r="BM108" s="323">
        <v>8</v>
      </c>
      <c r="BN108" s="323">
        <v>5</v>
      </c>
      <c r="BO108" s="323">
        <v>4</v>
      </c>
      <c r="BP108" s="323">
        <v>1</v>
      </c>
      <c r="BQ108" s="323">
        <v>2</v>
      </c>
      <c r="BR108" s="323">
        <v>16</v>
      </c>
      <c r="BS108" s="323">
        <v>35</v>
      </c>
      <c r="BT108" s="323">
        <v>5</v>
      </c>
      <c r="BU108" s="323">
        <v>76</v>
      </c>
      <c r="BV108" s="329" t="s">
        <v>934</v>
      </c>
      <c r="BW108" s="330">
        <v>103</v>
      </c>
      <c r="BX108" s="330">
        <v>134</v>
      </c>
      <c r="BY108" s="330">
        <v>178</v>
      </c>
      <c r="BZ108" s="330">
        <v>355</v>
      </c>
      <c r="CA108" s="330">
        <v>179</v>
      </c>
      <c r="CB108" s="330">
        <v>87</v>
      </c>
      <c r="CC108" s="330">
        <v>27</v>
      </c>
      <c r="CD108" s="330">
        <v>2</v>
      </c>
      <c r="CE108" s="328">
        <v>1065</v>
      </c>
      <c r="CF108" s="322" t="s">
        <v>934</v>
      </c>
      <c r="CG108" s="323">
        <v>7</v>
      </c>
      <c r="CH108" s="323">
        <v>6</v>
      </c>
      <c r="CI108" s="323">
        <v>9</v>
      </c>
      <c r="CJ108" s="323">
        <v>8</v>
      </c>
      <c r="CK108" s="323">
        <v>2</v>
      </c>
      <c r="CL108" s="323">
        <v>0</v>
      </c>
      <c r="CM108" s="323">
        <v>0</v>
      </c>
      <c r="CN108" s="323">
        <v>0</v>
      </c>
      <c r="CO108" s="323">
        <v>32</v>
      </c>
      <c r="CP108" s="329" t="s">
        <v>934</v>
      </c>
      <c r="CQ108" s="330">
        <v>113</v>
      </c>
      <c r="CR108" s="330">
        <v>111</v>
      </c>
      <c r="CS108" s="330">
        <v>71</v>
      </c>
      <c r="CT108" s="330">
        <v>59</v>
      </c>
      <c r="CU108" s="330">
        <v>31</v>
      </c>
      <c r="CV108" s="330">
        <v>13</v>
      </c>
      <c r="CW108" s="330">
        <v>13</v>
      </c>
      <c r="CX108" s="330">
        <v>1</v>
      </c>
      <c r="CY108" s="328">
        <v>412</v>
      </c>
      <c r="CZ108" s="322" t="s">
        <v>934</v>
      </c>
      <c r="DA108" s="323">
        <v>103</v>
      </c>
      <c r="DB108" s="323">
        <v>134</v>
      </c>
      <c r="DC108" s="323">
        <v>178</v>
      </c>
      <c r="DD108" s="323">
        <v>355</v>
      </c>
      <c r="DE108" s="323">
        <v>179</v>
      </c>
      <c r="DF108" s="323">
        <v>87</v>
      </c>
      <c r="DG108" s="323">
        <v>27</v>
      </c>
      <c r="DH108" s="323">
        <v>2</v>
      </c>
      <c r="DI108" s="323">
        <v>1065</v>
      </c>
      <c r="DJ108" s="337">
        <v>0</v>
      </c>
      <c r="DK108" s="644">
        <v>36370.1</v>
      </c>
      <c r="DL108" s="614">
        <v>7904</v>
      </c>
      <c r="DM108" s="614">
        <v>12448</v>
      </c>
      <c r="DN108" s="614">
        <v>10573</v>
      </c>
      <c r="DO108" s="614">
        <v>8145</v>
      </c>
      <c r="DP108" s="614">
        <v>4430</v>
      </c>
      <c r="DQ108" s="614">
        <v>1997</v>
      </c>
      <c r="DR108" s="614">
        <v>1049</v>
      </c>
      <c r="DS108" s="615">
        <v>81</v>
      </c>
      <c r="DT108" s="607">
        <f t="shared" si="1"/>
        <v>46627</v>
      </c>
      <c r="DU108" s="342"/>
      <c r="EC108" s="646"/>
      <c r="EF108" s="123"/>
      <c r="EG108" s="124"/>
    </row>
    <row r="109" spans="1:137" ht="15">
      <c r="A109" s="22">
        <v>101</v>
      </c>
      <c r="B109" s="23" t="s">
        <v>332</v>
      </c>
      <c r="C109" s="24" t="s">
        <v>333</v>
      </c>
      <c r="D109" s="613"/>
      <c r="E109" s="628">
        <v>4323</v>
      </c>
      <c r="F109" s="628">
        <v>9624</v>
      </c>
      <c r="G109" s="628">
        <v>16533</v>
      </c>
      <c r="H109" s="628">
        <v>9114</v>
      </c>
      <c r="I109" s="628">
        <v>6805</v>
      </c>
      <c r="J109" s="628">
        <v>2800</v>
      </c>
      <c r="K109" s="628">
        <v>982</v>
      </c>
      <c r="L109" s="628">
        <v>22</v>
      </c>
      <c r="M109" s="627">
        <v>50203</v>
      </c>
      <c r="N109" s="322"/>
      <c r="O109" s="323">
        <v>224</v>
      </c>
      <c r="P109" s="323">
        <v>304</v>
      </c>
      <c r="Q109" s="323">
        <v>258</v>
      </c>
      <c r="R109" s="323">
        <v>126</v>
      </c>
      <c r="S109" s="323">
        <v>69</v>
      </c>
      <c r="T109" s="323">
        <v>28</v>
      </c>
      <c r="U109" s="323">
        <v>10</v>
      </c>
      <c r="V109" s="323">
        <v>0</v>
      </c>
      <c r="W109" s="323">
        <v>1019</v>
      </c>
      <c r="X109" s="329" t="s">
        <v>934</v>
      </c>
      <c r="Y109" s="330">
        <v>0</v>
      </c>
      <c r="Z109" s="330">
        <v>5</v>
      </c>
      <c r="AA109" s="330">
        <v>0</v>
      </c>
      <c r="AB109" s="330">
        <v>0</v>
      </c>
      <c r="AC109" s="330">
        <v>1</v>
      </c>
      <c r="AD109" s="330">
        <v>0</v>
      </c>
      <c r="AE109" s="330">
        <v>0</v>
      </c>
      <c r="AF109" s="330">
        <v>0</v>
      </c>
      <c r="AG109" s="328">
        <v>6</v>
      </c>
      <c r="AH109" s="329" t="s">
        <v>934</v>
      </c>
      <c r="AI109" s="184">
        <v>5</v>
      </c>
      <c r="AJ109" s="184">
        <v>35</v>
      </c>
      <c r="AK109" s="184">
        <v>78</v>
      </c>
      <c r="AL109" s="184">
        <v>61</v>
      </c>
      <c r="AM109" s="184">
        <v>50</v>
      </c>
      <c r="AN109" s="184">
        <v>26</v>
      </c>
      <c r="AO109" s="184">
        <v>15</v>
      </c>
      <c r="AP109" s="184">
        <v>4</v>
      </c>
      <c r="AQ109" s="336">
        <v>274</v>
      </c>
      <c r="AR109" s="323">
        <v>1</v>
      </c>
      <c r="AS109" s="323">
        <v>2657</v>
      </c>
      <c r="AT109" s="323">
        <v>4265</v>
      </c>
      <c r="AU109" s="323">
        <v>4783</v>
      </c>
      <c r="AV109" s="323">
        <v>2112</v>
      </c>
      <c r="AW109" s="323">
        <v>1008</v>
      </c>
      <c r="AX109" s="323">
        <v>311</v>
      </c>
      <c r="AY109" s="323">
        <v>105</v>
      </c>
      <c r="AZ109" s="323">
        <v>0</v>
      </c>
      <c r="BA109" s="323">
        <v>15242</v>
      </c>
      <c r="BB109" s="331">
        <v>0</v>
      </c>
      <c r="BC109" s="330">
        <v>19</v>
      </c>
      <c r="BD109" s="330">
        <v>76</v>
      </c>
      <c r="BE109" s="330">
        <v>155</v>
      </c>
      <c r="BF109" s="330">
        <v>56</v>
      </c>
      <c r="BG109" s="330">
        <v>38</v>
      </c>
      <c r="BH109" s="330">
        <v>14</v>
      </c>
      <c r="BI109" s="330">
        <v>6</v>
      </c>
      <c r="BJ109" s="330">
        <v>0</v>
      </c>
      <c r="BK109" s="328">
        <v>364</v>
      </c>
      <c r="BL109" s="323">
        <v>0</v>
      </c>
      <c r="BM109" s="323">
        <v>2</v>
      </c>
      <c r="BN109" s="323">
        <v>4</v>
      </c>
      <c r="BO109" s="323">
        <v>8</v>
      </c>
      <c r="BP109" s="323">
        <v>5</v>
      </c>
      <c r="BQ109" s="323">
        <v>12</v>
      </c>
      <c r="BR109" s="323">
        <v>15</v>
      </c>
      <c r="BS109" s="323">
        <v>12</v>
      </c>
      <c r="BT109" s="323">
        <v>2</v>
      </c>
      <c r="BU109" s="323">
        <v>60</v>
      </c>
      <c r="BV109" s="329" t="s">
        <v>934</v>
      </c>
      <c r="BW109" s="330">
        <v>22</v>
      </c>
      <c r="BX109" s="330">
        <v>36</v>
      </c>
      <c r="BY109" s="330">
        <v>43</v>
      </c>
      <c r="BZ109" s="330">
        <v>26</v>
      </c>
      <c r="CA109" s="330">
        <v>29</v>
      </c>
      <c r="CB109" s="330">
        <v>13</v>
      </c>
      <c r="CC109" s="330">
        <v>13</v>
      </c>
      <c r="CD109" s="330">
        <v>0</v>
      </c>
      <c r="CE109" s="328">
        <v>182</v>
      </c>
      <c r="CF109" s="322" t="s">
        <v>934</v>
      </c>
      <c r="CG109" s="323">
        <v>103</v>
      </c>
      <c r="CH109" s="323">
        <v>79</v>
      </c>
      <c r="CI109" s="323">
        <v>93</v>
      </c>
      <c r="CJ109" s="323">
        <v>41</v>
      </c>
      <c r="CK109" s="323">
        <v>20</v>
      </c>
      <c r="CL109" s="323">
        <v>10</v>
      </c>
      <c r="CM109" s="323">
        <v>7</v>
      </c>
      <c r="CN109" s="323">
        <v>0</v>
      </c>
      <c r="CO109" s="323">
        <v>353</v>
      </c>
      <c r="CP109" s="329" t="s">
        <v>934</v>
      </c>
      <c r="CQ109" s="330">
        <v>0</v>
      </c>
      <c r="CR109" s="330">
        <v>0</v>
      </c>
      <c r="CS109" s="330">
        <v>0</v>
      </c>
      <c r="CT109" s="330">
        <v>0</v>
      </c>
      <c r="CU109" s="330">
        <v>0</v>
      </c>
      <c r="CV109" s="330">
        <v>0</v>
      </c>
      <c r="CW109" s="330">
        <v>0</v>
      </c>
      <c r="CX109" s="330">
        <v>0</v>
      </c>
      <c r="CY109" s="328">
        <v>0</v>
      </c>
      <c r="CZ109" s="322" t="s">
        <v>934</v>
      </c>
      <c r="DA109" s="323">
        <v>0</v>
      </c>
      <c r="DB109" s="323">
        <v>0</v>
      </c>
      <c r="DC109" s="323">
        <v>0</v>
      </c>
      <c r="DD109" s="323">
        <v>0</v>
      </c>
      <c r="DE109" s="323">
        <v>0</v>
      </c>
      <c r="DF109" s="323">
        <v>0</v>
      </c>
      <c r="DG109" s="323">
        <v>0</v>
      </c>
      <c r="DH109" s="323">
        <v>0</v>
      </c>
      <c r="DI109" s="323">
        <v>0</v>
      </c>
      <c r="DJ109" s="337">
        <v>0</v>
      </c>
      <c r="DK109" s="644">
        <v>43595.7</v>
      </c>
      <c r="DL109" s="614">
        <v>4415</v>
      </c>
      <c r="DM109" s="614">
        <v>10016</v>
      </c>
      <c r="DN109" s="614">
        <v>16629</v>
      </c>
      <c r="DO109" s="614">
        <v>9170</v>
      </c>
      <c r="DP109" s="614">
        <v>6810</v>
      </c>
      <c r="DQ109" s="614">
        <v>2799</v>
      </c>
      <c r="DR109" s="614">
        <v>982</v>
      </c>
      <c r="DS109" s="615">
        <v>22</v>
      </c>
      <c r="DT109" s="607">
        <f t="shared" si="1"/>
        <v>50843</v>
      </c>
      <c r="DU109" s="342"/>
      <c r="EC109" s="646"/>
      <c r="EF109" s="123"/>
      <c r="EG109" s="124"/>
    </row>
    <row r="110" spans="1:137" ht="15">
      <c r="A110" s="22">
        <v>102</v>
      </c>
      <c r="B110" s="23" t="s">
        <v>334</v>
      </c>
      <c r="C110" s="24" t="s">
        <v>335</v>
      </c>
      <c r="D110" s="613"/>
      <c r="E110" s="628">
        <v>4023</v>
      </c>
      <c r="F110" s="628">
        <v>6519</v>
      </c>
      <c r="G110" s="628">
        <v>5034</v>
      </c>
      <c r="H110" s="628">
        <v>4461</v>
      </c>
      <c r="I110" s="628">
        <v>3050</v>
      </c>
      <c r="J110" s="628">
        <v>982</v>
      </c>
      <c r="K110" s="628">
        <v>390</v>
      </c>
      <c r="L110" s="628">
        <v>45</v>
      </c>
      <c r="M110" s="627">
        <v>24504</v>
      </c>
      <c r="N110" s="322"/>
      <c r="O110" s="323">
        <v>183</v>
      </c>
      <c r="P110" s="323">
        <v>146</v>
      </c>
      <c r="Q110" s="323">
        <v>103</v>
      </c>
      <c r="R110" s="323">
        <v>83</v>
      </c>
      <c r="S110" s="323">
        <v>54</v>
      </c>
      <c r="T110" s="323">
        <v>15</v>
      </c>
      <c r="U110" s="323">
        <v>5</v>
      </c>
      <c r="V110" s="323">
        <v>2</v>
      </c>
      <c r="W110" s="323">
        <v>591</v>
      </c>
      <c r="X110" s="329" t="s">
        <v>934</v>
      </c>
      <c r="Y110" s="330">
        <v>0</v>
      </c>
      <c r="Z110" s="330">
        <v>0</v>
      </c>
      <c r="AA110" s="330">
        <v>0</v>
      </c>
      <c r="AB110" s="330">
        <v>0</v>
      </c>
      <c r="AC110" s="330">
        <v>0</v>
      </c>
      <c r="AD110" s="330">
        <v>0</v>
      </c>
      <c r="AE110" s="330">
        <v>0</v>
      </c>
      <c r="AF110" s="330">
        <v>0</v>
      </c>
      <c r="AG110" s="328">
        <v>0</v>
      </c>
      <c r="AH110" s="329" t="s">
        <v>934</v>
      </c>
      <c r="AI110" s="184">
        <v>10</v>
      </c>
      <c r="AJ110" s="184">
        <v>19</v>
      </c>
      <c r="AK110" s="184">
        <v>25</v>
      </c>
      <c r="AL110" s="184">
        <v>18</v>
      </c>
      <c r="AM110" s="184">
        <v>17</v>
      </c>
      <c r="AN110" s="184">
        <v>9</v>
      </c>
      <c r="AO110" s="184">
        <v>8</v>
      </c>
      <c r="AP110" s="184">
        <v>9</v>
      </c>
      <c r="AQ110" s="336">
        <v>115</v>
      </c>
      <c r="AR110" s="323">
        <v>0</v>
      </c>
      <c r="AS110" s="323">
        <v>1860</v>
      </c>
      <c r="AT110" s="323">
        <v>2228</v>
      </c>
      <c r="AU110" s="323">
        <v>1322</v>
      </c>
      <c r="AV110" s="323">
        <v>915</v>
      </c>
      <c r="AW110" s="323">
        <v>472</v>
      </c>
      <c r="AX110" s="323">
        <v>130</v>
      </c>
      <c r="AY110" s="323">
        <v>46</v>
      </c>
      <c r="AZ110" s="323">
        <v>6</v>
      </c>
      <c r="BA110" s="323">
        <v>6979</v>
      </c>
      <c r="BB110" s="331">
        <v>0</v>
      </c>
      <c r="BC110" s="330">
        <v>23</v>
      </c>
      <c r="BD110" s="330">
        <v>37</v>
      </c>
      <c r="BE110" s="330">
        <v>28</v>
      </c>
      <c r="BF110" s="330">
        <v>16</v>
      </c>
      <c r="BG110" s="330">
        <v>12</v>
      </c>
      <c r="BH110" s="330">
        <v>2</v>
      </c>
      <c r="BI110" s="330">
        <v>1</v>
      </c>
      <c r="BJ110" s="330">
        <v>1</v>
      </c>
      <c r="BK110" s="328">
        <v>120</v>
      </c>
      <c r="BL110" s="323">
        <v>0</v>
      </c>
      <c r="BM110" s="323">
        <v>8</v>
      </c>
      <c r="BN110" s="323">
        <v>11</v>
      </c>
      <c r="BO110" s="323">
        <v>19</v>
      </c>
      <c r="BP110" s="323">
        <v>10</v>
      </c>
      <c r="BQ110" s="323">
        <v>8</v>
      </c>
      <c r="BR110" s="323">
        <v>7</v>
      </c>
      <c r="BS110" s="323">
        <v>9</v>
      </c>
      <c r="BT110" s="323">
        <v>2</v>
      </c>
      <c r="BU110" s="323">
        <v>74</v>
      </c>
      <c r="BV110" s="329" t="s">
        <v>934</v>
      </c>
      <c r="BW110" s="330">
        <v>235</v>
      </c>
      <c r="BX110" s="330">
        <v>314</v>
      </c>
      <c r="BY110" s="330">
        <v>281</v>
      </c>
      <c r="BZ110" s="330">
        <v>217</v>
      </c>
      <c r="CA110" s="330">
        <v>131</v>
      </c>
      <c r="CB110" s="330">
        <v>83</v>
      </c>
      <c r="CC110" s="330">
        <v>51</v>
      </c>
      <c r="CD110" s="330">
        <v>2</v>
      </c>
      <c r="CE110" s="328">
        <v>1314</v>
      </c>
      <c r="CF110" s="322" t="s">
        <v>934</v>
      </c>
      <c r="CG110" s="323">
        <v>0</v>
      </c>
      <c r="CH110" s="323">
        <v>0</v>
      </c>
      <c r="CI110" s="323">
        <v>0</v>
      </c>
      <c r="CJ110" s="323">
        <v>0</v>
      </c>
      <c r="CK110" s="323">
        <v>0</v>
      </c>
      <c r="CL110" s="323">
        <v>0</v>
      </c>
      <c r="CM110" s="323">
        <v>0</v>
      </c>
      <c r="CN110" s="323">
        <v>0</v>
      </c>
      <c r="CO110" s="323">
        <v>0</v>
      </c>
      <c r="CP110" s="329" t="s">
        <v>934</v>
      </c>
      <c r="CQ110" s="330">
        <v>0</v>
      </c>
      <c r="CR110" s="330">
        <v>0</v>
      </c>
      <c r="CS110" s="330">
        <v>0</v>
      </c>
      <c r="CT110" s="330">
        <v>0</v>
      </c>
      <c r="CU110" s="330">
        <v>0</v>
      </c>
      <c r="CV110" s="330">
        <v>0</v>
      </c>
      <c r="CW110" s="330">
        <v>0</v>
      </c>
      <c r="CX110" s="330">
        <v>0</v>
      </c>
      <c r="CY110" s="328">
        <v>0</v>
      </c>
      <c r="CZ110" s="322" t="s">
        <v>934</v>
      </c>
      <c r="DA110" s="323">
        <v>76</v>
      </c>
      <c r="DB110" s="323">
        <v>61</v>
      </c>
      <c r="DC110" s="323">
        <v>57</v>
      </c>
      <c r="DD110" s="323">
        <v>55</v>
      </c>
      <c r="DE110" s="323">
        <v>24</v>
      </c>
      <c r="DF110" s="323">
        <v>8</v>
      </c>
      <c r="DG110" s="323">
        <v>4</v>
      </c>
      <c r="DH110" s="323">
        <v>0</v>
      </c>
      <c r="DI110" s="323">
        <v>285</v>
      </c>
      <c r="DJ110" s="337">
        <v>0</v>
      </c>
      <c r="DK110" s="644">
        <v>19861.5</v>
      </c>
      <c r="DL110" s="614">
        <v>4063</v>
      </c>
      <c r="DM110" s="614">
        <v>6615</v>
      </c>
      <c r="DN110" s="614">
        <v>5062</v>
      </c>
      <c r="DO110" s="614">
        <v>4475</v>
      </c>
      <c r="DP110" s="614">
        <v>3076</v>
      </c>
      <c r="DQ110" s="614">
        <v>1012</v>
      </c>
      <c r="DR110" s="614">
        <v>383</v>
      </c>
      <c r="DS110" s="615">
        <v>47</v>
      </c>
      <c r="DT110" s="607">
        <f t="shared" si="1"/>
        <v>24733</v>
      </c>
      <c r="DU110" s="342"/>
      <c r="EC110" s="646"/>
      <c r="EF110" s="123"/>
      <c r="EG110" s="124"/>
    </row>
    <row r="111" spans="1:137" ht="15">
      <c r="A111" s="22">
        <v>103</v>
      </c>
      <c r="B111" s="23" t="s">
        <v>858</v>
      </c>
      <c r="C111" s="24" t="s">
        <v>336</v>
      </c>
      <c r="D111" s="613"/>
      <c r="E111" s="636">
        <v>11271</v>
      </c>
      <c r="F111" s="636">
        <v>8168</v>
      </c>
      <c r="G111" s="636">
        <v>7116</v>
      </c>
      <c r="H111" s="636">
        <v>3635</v>
      </c>
      <c r="I111" s="636">
        <v>2764</v>
      </c>
      <c r="J111" s="636">
        <v>1281</v>
      </c>
      <c r="K111" s="636">
        <v>881</v>
      </c>
      <c r="L111" s="636">
        <v>70</v>
      </c>
      <c r="M111" s="627">
        <v>35186</v>
      </c>
      <c r="N111" s="322"/>
      <c r="O111" s="323">
        <v>322</v>
      </c>
      <c r="P111" s="323">
        <v>167</v>
      </c>
      <c r="Q111" s="323">
        <v>113</v>
      </c>
      <c r="R111" s="323">
        <v>60</v>
      </c>
      <c r="S111" s="323">
        <v>41</v>
      </c>
      <c r="T111" s="323">
        <v>18</v>
      </c>
      <c r="U111" s="323">
        <v>11</v>
      </c>
      <c r="V111" s="323">
        <v>3</v>
      </c>
      <c r="W111" s="323">
        <v>735</v>
      </c>
      <c r="X111" s="329" t="s">
        <v>934</v>
      </c>
      <c r="Y111" s="330">
        <v>1</v>
      </c>
      <c r="Z111" s="330">
        <v>0</v>
      </c>
      <c r="AA111" s="330">
        <v>0</v>
      </c>
      <c r="AB111" s="330">
        <v>0</v>
      </c>
      <c r="AC111" s="330">
        <v>0</v>
      </c>
      <c r="AD111" s="330">
        <v>0</v>
      </c>
      <c r="AE111" s="330">
        <v>0</v>
      </c>
      <c r="AF111" s="330">
        <v>0</v>
      </c>
      <c r="AG111" s="328">
        <v>1</v>
      </c>
      <c r="AH111" s="329" t="s">
        <v>934</v>
      </c>
      <c r="AI111" s="184">
        <v>49</v>
      </c>
      <c r="AJ111" s="184">
        <v>73</v>
      </c>
      <c r="AK111" s="184">
        <v>57</v>
      </c>
      <c r="AL111" s="184">
        <v>37</v>
      </c>
      <c r="AM111" s="184">
        <v>19</v>
      </c>
      <c r="AN111" s="184">
        <v>11</v>
      </c>
      <c r="AO111" s="184">
        <v>14</v>
      </c>
      <c r="AP111" s="184">
        <v>11</v>
      </c>
      <c r="AQ111" s="336">
        <v>271</v>
      </c>
      <c r="AR111" s="323">
        <v>12</v>
      </c>
      <c r="AS111" s="323">
        <v>5512</v>
      </c>
      <c r="AT111" s="323">
        <v>2735</v>
      </c>
      <c r="AU111" s="323">
        <v>1869</v>
      </c>
      <c r="AV111" s="323">
        <v>771</v>
      </c>
      <c r="AW111" s="323">
        <v>460</v>
      </c>
      <c r="AX111" s="323">
        <v>184</v>
      </c>
      <c r="AY111" s="323">
        <v>100</v>
      </c>
      <c r="AZ111" s="323">
        <v>6</v>
      </c>
      <c r="BA111" s="323">
        <v>11649</v>
      </c>
      <c r="BB111" s="331">
        <v>2</v>
      </c>
      <c r="BC111" s="330">
        <v>93</v>
      </c>
      <c r="BD111" s="330">
        <v>83</v>
      </c>
      <c r="BE111" s="330">
        <v>50</v>
      </c>
      <c r="BF111" s="330">
        <v>25</v>
      </c>
      <c r="BG111" s="330">
        <v>8</v>
      </c>
      <c r="BH111" s="330">
        <v>4</v>
      </c>
      <c r="BI111" s="330">
        <v>7</v>
      </c>
      <c r="BJ111" s="330">
        <v>0</v>
      </c>
      <c r="BK111" s="328">
        <v>272</v>
      </c>
      <c r="BL111" s="323">
        <v>1</v>
      </c>
      <c r="BM111" s="323">
        <v>14</v>
      </c>
      <c r="BN111" s="323">
        <v>6</v>
      </c>
      <c r="BO111" s="323">
        <v>3</v>
      </c>
      <c r="BP111" s="323">
        <v>4</v>
      </c>
      <c r="BQ111" s="323">
        <v>3</v>
      </c>
      <c r="BR111" s="323">
        <v>3</v>
      </c>
      <c r="BS111" s="323">
        <v>11</v>
      </c>
      <c r="BT111" s="323">
        <v>0</v>
      </c>
      <c r="BU111" s="323">
        <v>45</v>
      </c>
      <c r="BV111" s="329" t="s">
        <v>934</v>
      </c>
      <c r="BW111" s="330">
        <v>24</v>
      </c>
      <c r="BX111" s="330">
        <v>19</v>
      </c>
      <c r="BY111" s="330">
        <v>20</v>
      </c>
      <c r="BZ111" s="330">
        <v>10</v>
      </c>
      <c r="CA111" s="330">
        <v>10</v>
      </c>
      <c r="CB111" s="330">
        <v>9</v>
      </c>
      <c r="CC111" s="330">
        <v>0</v>
      </c>
      <c r="CD111" s="330">
        <v>0</v>
      </c>
      <c r="CE111" s="328">
        <v>92</v>
      </c>
      <c r="CF111" s="322" t="s">
        <v>934</v>
      </c>
      <c r="CG111" s="323">
        <v>48</v>
      </c>
      <c r="CH111" s="323">
        <v>34</v>
      </c>
      <c r="CI111" s="323">
        <v>30</v>
      </c>
      <c r="CJ111" s="323">
        <v>5</v>
      </c>
      <c r="CK111" s="323">
        <v>8</v>
      </c>
      <c r="CL111" s="323">
        <v>7</v>
      </c>
      <c r="CM111" s="323">
        <v>3</v>
      </c>
      <c r="CN111" s="323">
        <v>0</v>
      </c>
      <c r="CO111" s="323">
        <v>135</v>
      </c>
      <c r="CP111" s="329" t="s">
        <v>934</v>
      </c>
      <c r="CQ111" s="330">
        <v>50</v>
      </c>
      <c r="CR111" s="330">
        <v>37</v>
      </c>
      <c r="CS111" s="330">
        <v>33</v>
      </c>
      <c r="CT111" s="330">
        <v>15</v>
      </c>
      <c r="CU111" s="330">
        <v>6</v>
      </c>
      <c r="CV111" s="330">
        <v>4</v>
      </c>
      <c r="CW111" s="330">
        <v>4</v>
      </c>
      <c r="CX111" s="330">
        <v>1</v>
      </c>
      <c r="CY111" s="328">
        <v>150</v>
      </c>
      <c r="CZ111" s="322" t="s">
        <v>934</v>
      </c>
      <c r="DA111" s="323">
        <v>0</v>
      </c>
      <c r="DB111" s="323">
        <v>0</v>
      </c>
      <c r="DC111" s="323">
        <v>0</v>
      </c>
      <c r="DD111" s="323">
        <v>0</v>
      </c>
      <c r="DE111" s="323">
        <v>0</v>
      </c>
      <c r="DF111" s="323">
        <v>0</v>
      </c>
      <c r="DG111" s="323">
        <v>0</v>
      </c>
      <c r="DH111" s="323">
        <v>0</v>
      </c>
      <c r="DI111" s="323">
        <v>0</v>
      </c>
      <c r="DJ111" s="337">
        <v>0</v>
      </c>
      <c r="DK111" s="644">
        <v>27529.5</v>
      </c>
      <c r="DL111" s="616">
        <v>11280</v>
      </c>
      <c r="DM111" s="616">
        <v>8275</v>
      </c>
      <c r="DN111" s="616">
        <v>7137</v>
      </c>
      <c r="DO111" s="616">
        <v>3648</v>
      </c>
      <c r="DP111" s="616">
        <v>2751</v>
      </c>
      <c r="DQ111" s="616">
        <v>1293</v>
      </c>
      <c r="DR111" s="616">
        <v>881</v>
      </c>
      <c r="DS111" s="617">
        <v>70</v>
      </c>
      <c r="DT111" s="607">
        <f t="shared" si="1"/>
        <v>35335</v>
      </c>
      <c r="DU111" s="342"/>
      <c r="EC111" s="646"/>
      <c r="EF111" s="130"/>
      <c r="EG111" s="124"/>
    </row>
    <row r="112" spans="1:137" ht="15">
      <c r="A112" s="22">
        <v>104</v>
      </c>
      <c r="B112" s="23" t="s">
        <v>337</v>
      </c>
      <c r="C112" s="24" t="s">
        <v>338</v>
      </c>
      <c r="D112" s="613"/>
      <c r="E112" s="628">
        <v>258</v>
      </c>
      <c r="F112" s="628">
        <v>1775</v>
      </c>
      <c r="G112" s="628">
        <v>6782</v>
      </c>
      <c r="H112" s="628">
        <v>12655</v>
      </c>
      <c r="I112" s="628">
        <v>10600</v>
      </c>
      <c r="J112" s="628">
        <v>7482</v>
      </c>
      <c r="K112" s="628">
        <v>10934</v>
      </c>
      <c r="L112" s="628">
        <v>3177</v>
      </c>
      <c r="M112" s="627">
        <v>53663</v>
      </c>
      <c r="N112" s="322"/>
      <c r="O112" s="323">
        <v>30</v>
      </c>
      <c r="P112" s="323">
        <v>134</v>
      </c>
      <c r="Q112" s="323">
        <v>263</v>
      </c>
      <c r="R112" s="323">
        <v>283</v>
      </c>
      <c r="S112" s="323">
        <v>215</v>
      </c>
      <c r="T112" s="323">
        <v>143</v>
      </c>
      <c r="U112" s="323">
        <v>212</v>
      </c>
      <c r="V112" s="323">
        <v>88</v>
      </c>
      <c r="W112" s="323">
        <v>1368</v>
      </c>
      <c r="X112" s="329" t="s">
        <v>934</v>
      </c>
      <c r="Y112" s="330">
        <v>1</v>
      </c>
      <c r="Z112" s="330">
        <v>0</v>
      </c>
      <c r="AA112" s="330">
        <v>0</v>
      </c>
      <c r="AB112" s="330">
        <v>0</v>
      </c>
      <c r="AC112" s="330">
        <v>1</v>
      </c>
      <c r="AD112" s="330">
        <v>0</v>
      </c>
      <c r="AE112" s="330">
        <v>4</v>
      </c>
      <c r="AF112" s="330">
        <v>0</v>
      </c>
      <c r="AG112" s="328">
        <v>6</v>
      </c>
      <c r="AH112" s="329" t="s">
        <v>934</v>
      </c>
      <c r="AI112" s="184">
        <v>8</v>
      </c>
      <c r="AJ112" s="184">
        <v>21</v>
      </c>
      <c r="AK112" s="184">
        <v>47</v>
      </c>
      <c r="AL112" s="184">
        <v>52</v>
      </c>
      <c r="AM112" s="184">
        <v>55</v>
      </c>
      <c r="AN112" s="184">
        <v>85</v>
      </c>
      <c r="AO112" s="184">
        <v>26</v>
      </c>
      <c r="AP112" s="184">
        <v>0</v>
      </c>
      <c r="AQ112" s="336">
        <v>294</v>
      </c>
      <c r="AR112" s="323">
        <v>0</v>
      </c>
      <c r="AS112" s="323">
        <v>102</v>
      </c>
      <c r="AT112" s="323">
        <v>1179</v>
      </c>
      <c r="AU112" s="323">
        <v>3554</v>
      </c>
      <c r="AV112" s="323">
        <v>4660</v>
      </c>
      <c r="AW112" s="323">
        <v>3111</v>
      </c>
      <c r="AX112" s="323">
        <v>1722</v>
      </c>
      <c r="AY112" s="323">
        <v>1594</v>
      </c>
      <c r="AZ112" s="323">
        <v>208</v>
      </c>
      <c r="BA112" s="323">
        <v>16130</v>
      </c>
      <c r="BB112" s="331">
        <v>0</v>
      </c>
      <c r="BC112" s="330">
        <v>1</v>
      </c>
      <c r="BD112" s="330">
        <v>6</v>
      </c>
      <c r="BE112" s="330">
        <v>52</v>
      </c>
      <c r="BF112" s="330">
        <v>66</v>
      </c>
      <c r="BG112" s="330">
        <v>60</v>
      </c>
      <c r="BH112" s="330">
        <v>29</v>
      </c>
      <c r="BI112" s="330">
        <v>57</v>
      </c>
      <c r="BJ112" s="330">
        <v>7</v>
      </c>
      <c r="BK112" s="328">
        <v>278</v>
      </c>
      <c r="BL112" s="323">
        <v>0</v>
      </c>
      <c r="BM112" s="323">
        <v>0</v>
      </c>
      <c r="BN112" s="323">
        <v>2</v>
      </c>
      <c r="BO112" s="323">
        <v>3</v>
      </c>
      <c r="BP112" s="323">
        <v>8</v>
      </c>
      <c r="BQ112" s="323">
        <v>8</v>
      </c>
      <c r="BR112" s="323">
        <v>11</v>
      </c>
      <c r="BS112" s="323">
        <v>23</v>
      </c>
      <c r="BT112" s="323">
        <v>13</v>
      </c>
      <c r="BU112" s="323">
        <v>68</v>
      </c>
      <c r="BV112" s="329" t="s">
        <v>934</v>
      </c>
      <c r="BW112" s="330">
        <v>14</v>
      </c>
      <c r="BX112" s="330">
        <v>27</v>
      </c>
      <c r="BY112" s="330">
        <v>98</v>
      </c>
      <c r="BZ112" s="330">
        <v>164</v>
      </c>
      <c r="CA112" s="330">
        <v>94</v>
      </c>
      <c r="CB112" s="330">
        <v>65</v>
      </c>
      <c r="CC112" s="330">
        <v>122</v>
      </c>
      <c r="CD112" s="330">
        <v>41</v>
      </c>
      <c r="CE112" s="328">
        <v>625</v>
      </c>
      <c r="CF112" s="322" t="s">
        <v>934</v>
      </c>
      <c r="CG112" s="323">
        <v>0</v>
      </c>
      <c r="CH112" s="323">
        <v>0</v>
      </c>
      <c r="CI112" s="323">
        <v>0</v>
      </c>
      <c r="CJ112" s="323">
        <v>0</v>
      </c>
      <c r="CK112" s="323">
        <v>0</v>
      </c>
      <c r="CL112" s="323">
        <v>0</v>
      </c>
      <c r="CM112" s="323">
        <v>0</v>
      </c>
      <c r="CN112" s="323">
        <v>0</v>
      </c>
      <c r="CO112" s="323">
        <v>0</v>
      </c>
      <c r="CP112" s="329" t="s">
        <v>934</v>
      </c>
      <c r="CQ112" s="330">
        <v>32</v>
      </c>
      <c r="CR112" s="330">
        <v>51</v>
      </c>
      <c r="CS112" s="330">
        <v>82</v>
      </c>
      <c r="CT112" s="330">
        <v>101</v>
      </c>
      <c r="CU112" s="330">
        <v>93</v>
      </c>
      <c r="CV112" s="330">
        <v>40</v>
      </c>
      <c r="CW112" s="330">
        <v>54</v>
      </c>
      <c r="CX112" s="330">
        <v>40</v>
      </c>
      <c r="CY112" s="328">
        <v>493</v>
      </c>
      <c r="CZ112" s="322" t="s">
        <v>934</v>
      </c>
      <c r="DA112" s="323">
        <v>0</v>
      </c>
      <c r="DB112" s="323">
        <v>0</v>
      </c>
      <c r="DC112" s="323">
        <v>0</v>
      </c>
      <c r="DD112" s="323">
        <v>0</v>
      </c>
      <c r="DE112" s="323">
        <v>0</v>
      </c>
      <c r="DF112" s="323">
        <v>0</v>
      </c>
      <c r="DG112" s="323">
        <v>0</v>
      </c>
      <c r="DH112" s="323">
        <v>0</v>
      </c>
      <c r="DI112" s="323">
        <v>0</v>
      </c>
      <c r="DJ112" s="337">
        <v>0</v>
      </c>
      <c r="DK112" s="644">
        <v>61811.1</v>
      </c>
      <c r="DL112" s="614">
        <v>255</v>
      </c>
      <c r="DM112" s="614">
        <v>1785</v>
      </c>
      <c r="DN112" s="614">
        <v>6915</v>
      </c>
      <c r="DO112" s="614">
        <v>12804</v>
      </c>
      <c r="DP112" s="614">
        <v>10662</v>
      </c>
      <c r="DQ112" s="614">
        <v>7602</v>
      </c>
      <c r="DR112" s="614">
        <v>10953</v>
      </c>
      <c r="DS112" s="615">
        <v>3261</v>
      </c>
      <c r="DT112" s="607">
        <f t="shared" si="1"/>
        <v>54237</v>
      </c>
      <c r="DU112" s="342"/>
      <c r="EC112" s="646"/>
      <c r="EF112" s="126"/>
      <c r="EG112" s="124"/>
    </row>
    <row r="113" spans="1:137" ht="15">
      <c r="A113" s="22">
        <v>105</v>
      </c>
      <c r="B113" s="23" t="s">
        <v>339</v>
      </c>
      <c r="C113" s="24" t="s">
        <v>340</v>
      </c>
      <c r="D113" s="613"/>
      <c r="E113" s="626">
        <v>4858</v>
      </c>
      <c r="F113" s="626">
        <v>10757</v>
      </c>
      <c r="G113" s="626">
        <v>31235</v>
      </c>
      <c r="H113" s="626">
        <v>35247</v>
      </c>
      <c r="I113" s="626">
        <v>20555</v>
      </c>
      <c r="J113" s="626">
        <v>8810</v>
      </c>
      <c r="K113" s="626">
        <v>5816</v>
      </c>
      <c r="L113" s="626">
        <v>820</v>
      </c>
      <c r="M113" s="627">
        <v>118098</v>
      </c>
      <c r="N113" s="322"/>
      <c r="O113" s="323">
        <v>153</v>
      </c>
      <c r="P113" s="323">
        <v>373</v>
      </c>
      <c r="Q113" s="323">
        <v>768</v>
      </c>
      <c r="R113" s="323">
        <v>699</v>
      </c>
      <c r="S113" s="323">
        <v>366</v>
      </c>
      <c r="T113" s="323">
        <v>109</v>
      </c>
      <c r="U113" s="323">
        <v>59</v>
      </c>
      <c r="V113" s="323">
        <v>16</v>
      </c>
      <c r="W113" s="323">
        <v>2543</v>
      </c>
      <c r="X113" s="329" t="s">
        <v>934</v>
      </c>
      <c r="Y113" s="330">
        <v>0</v>
      </c>
      <c r="Z113" s="330">
        <v>0</v>
      </c>
      <c r="AA113" s="330">
        <v>0</v>
      </c>
      <c r="AB113" s="330">
        <v>2</v>
      </c>
      <c r="AC113" s="330">
        <v>1</v>
      </c>
      <c r="AD113" s="330">
        <v>3</v>
      </c>
      <c r="AE113" s="330">
        <v>1</v>
      </c>
      <c r="AF113" s="330">
        <v>0</v>
      </c>
      <c r="AG113" s="328">
        <v>7</v>
      </c>
      <c r="AH113" s="329" t="s">
        <v>934</v>
      </c>
      <c r="AI113" s="184">
        <v>3</v>
      </c>
      <c r="AJ113" s="184">
        <v>10</v>
      </c>
      <c r="AK113" s="184">
        <v>88</v>
      </c>
      <c r="AL113" s="184">
        <v>179</v>
      </c>
      <c r="AM113" s="184">
        <v>191</v>
      </c>
      <c r="AN113" s="184">
        <v>101</v>
      </c>
      <c r="AO113" s="184">
        <v>78</v>
      </c>
      <c r="AP113" s="184">
        <v>27</v>
      </c>
      <c r="AQ113" s="336">
        <v>677</v>
      </c>
      <c r="AR113" s="323">
        <v>2</v>
      </c>
      <c r="AS113" s="323">
        <v>3103</v>
      </c>
      <c r="AT113" s="323">
        <v>6711</v>
      </c>
      <c r="AU113" s="323">
        <v>14094</v>
      </c>
      <c r="AV113" s="323">
        <v>11784</v>
      </c>
      <c r="AW113" s="323">
        <v>5208</v>
      </c>
      <c r="AX113" s="323">
        <v>1780</v>
      </c>
      <c r="AY113" s="323">
        <v>793</v>
      </c>
      <c r="AZ113" s="323">
        <v>85</v>
      </c>
      <c r="BA113" s="323">
        <v>43560</v>
      </c>
      <c r="BB113" s="331">
        <v>0</v>
      </c>
      <c r="BC113" s="330">
        <v>39</v>
      </c>
      <c r="BD113" s="330">
        <v>82</v>
      </c>
      <c r="BE113" s="330">
        <v>355</v>
      </c>
      <c r="BF113" s="330">
        <v>387</v>
      </c>
      <c r="BG113" s="330">
        <v>172</v>
      </c>
      <c r="BH113" s="330">
        <v>83</v>
      </c>
      <c r="BI113" s="330">
        <v>29</v>
      </c>
      <c r="BJ113" s="330">
        <v>3</v>
      </c>
      <c r="BK113" s="328">
        <v>1150</v>
      </c>
      <c r="BL113" s="323">
        <v>0</v>
      </c>
      <c r="BM113" s="323">
        <v>0</v>
      </c>
      <c r="BN113" s="323">
        <v>3</v>
      </c>
      <c r="BO113" s="323">
        <v>11</v>
      </c>
      <c r="BP113" s="323">
        <v>35</v>
      </c>
      <c r="BQ113" s="323">
        <v>27</v>
      </c>
      <c r="BR113" s="323">
        <v>27</v>
      </c>
      <c r="BS113" s="323">
        <v>47</v>
      </c>
      <c r="BT113" s="323">
        <v>19</v>
      </c>
      <c r="BU113" s="323">
        <v>169</v>
      </c>
      <c r="BV113" s="329" t="s">
        <v>934</v>
      </c>
      <c r="BW113" s="330">
        <v>70</v>
      </c>
      <c r="BX113" s="330">
        <v>259</v>
      </c>
      <c r="BY113" s="330">
        <v>508</v>
      </c>
      <c r="BZ113" s="330">
        <v>391</v>
      </c>
      <c r="CA113" s="330">
        <v>150</v>
      </c>
      <c r="CB113" s="330">
        <v>60</v>
      </c>
      <c r="CC113" s="330">
        <v>39</v>
      </c>
      <c r="CD113" s="330">
        <v>3</v>
      </c>
      <c r="CE113" s="328">
        <v>1480</v>
      </c>
      <c r="CF113" s="322" t="s">
        <v>934</v>
      </c>
      <c r="CG113" s="323">
        <v>0</v>
      </c>
      <c r="CH113" s="323">
        <v>0</v>
      </c>
      <c r="CI113" s="323">
        <v>0</v>
      </c>
      <c r="CJ113" s="323">
        <v>0</v>
      </c>
      <c r="CK113" s="323">
        <v>0</v>
      </c>
      <c r="CL113" s="323">
        <v>0</v>
      </c>
      <c r="CM113" s="323">
        <v>0</v>
      </c>
      <c r="CN113" s="323">
        <v>0</v>
      </c>
      <c r="CO113" s="323">
        <v>0</v>
      </c>
      <c r="CP113" s="329" t="s">
        <v>934</v>
      </c>
      <c r="CQ113" s="330">
        <v>40</v>
      </c>
      <c r="CR113" s="330">
        <v>160</v>
      </c>
      <c r="CS113" s="330">
        <v>409</v>
      </c>
      <c r="CT113" s="330">
        <v>397</v>
      </c>
      <c r="CU113" s="330">
        <v>288</v>
      </c>
      <c r="CV113" s="330">
        <v>132</v>
      </c>
      <c r="CW113" s="330">
        <v>92</v>
      </c>
      <c r="CX113" s="330">
        <v>30</v>
      </c>
      <c r="CY113" s="328">
        <v>1548</v>
      </c>
      <c r="CZ113" s="322" t="s">
        <v>934</v>
      </c>
      <c r="DA113" s="323">
        <v>70</v>
      </c>
      <c r="DB113" s="323">
        <v>259</v>
      </c>
      <c r="DC113" s="323">
        <v>508</v>
      </c>
      <c r="DD113" s="323">
        <v>391</v>
      </c>
      <c r="DE113" s="323">
        <v>150</v>
      </c>
      <c r="DF113" s="323">
        <v>60</v>
      </c>
      <c r="DG113" s="323">
        <v>39</v>
      </c>
      <c r="DH113" s="323">
        <v>3</v>
      </c>
      <c r="DI113" s="323">
        <v>1480</v>
      </c>
      <c r="DJ113" s="337">
        <v>0</v>
      </c>
      <c r="DK113" s="644">
        <v>109379.7</v>
      </c>
      <c r="DL113" s="614">
        <v>4865</v>
      </c>
      <c r="DM113" s="614">
        <v>10839</v>
      </c>
      <c r="DN113" s="614">
        <v>31718</v>
      </c>
      <c r="DO113" s="614">
        <v>35340</v>
      </c>
      <c r="DP113" s="614">
        <v>20642</v>
      </c>
      <c r="DQ113" s="614">
        <v>8830</v>
      </c>
      <c r="DR113" s="614">
        <v>5806</v>
      </c>
      <c r="DS113" s="615">
        <v>824</v>
      </c>
      <c r="DT113" s="607">
        <f t="shared" si="1"/>
        <v>118864</v>
      </c>
      <c r="DU113" s="342"/>
      <c r="EC113" s="646"/>
      <c r="EF113" s="123"/>
      <c r="EG113" s="124"/>
    </row>
    <row r="114" spans="1:137" ht="15">
      <c r="A114" s="22">
        <v>106</v>
      </c>
      <c r="B114" s="23" t="s">
        <v>341</v>
      </c>
      <c r="C114" s="24" t="s">
        <v>342</v>
      </c>
      <c r="D114" s="613"/>
      <c r="E114" s="628">
        <v>1617</v>
      </c>
      <c r="F114" s="628">
        <v>4620</v>
      </c>
      <c r="G114" s="628">
        <v>11024</v>
      </c>
      <c r="H114" s="628">
        <v>13420</v>
      </c>
      <c r="I114" s="628">
        <v>9066</v>
      </c>
      <c r="J114" s="628">
        <v>6527</v>
      </c>
      <c r="K114" s="628">
        <v>5728</v>
      </c>
      <c r="L114" s="628">
        <v>1067</v>
      </c>
      <c r="M114" s="627">
        <v>53069</v>
      </c>
      <c r="N114" s="322"/>
      <c r="O114" s="323">
        <v>97</v>
      </c>
      <c r="P114" s="323">
        <v>170</v>
      </c>
      <c r="Q114" s="323">
        <v>296</v>
      </c>
      <c r="R114" s="323">
        <v>227</v>
      </c>
      <c r="S114" s="323">
        <v>130</v>
      </c>
      <c r="T114" s="323">
        <v>92</v>
      </c>
      <c r="U114" s="323">
        <v>100</v>
      </c>
      <c r="V114" s="323">
        <v>16</v>
      </c>
      <c r="W114" s="323">
        <v>1128</v>
      </c>
      <c r="X114" s="329" t="s">
        <v>934</v>
      </c>
      <c r="Y114" s="330">
        <v>0</v>
      </c>
      <c r="Z114" s="330">
        <v>0</v>
      </c>
      <c r="AA114" s="330">
        <v>0</v>
      </c>
      <c r="AB114" s="330">
        <v>0</v>
      </c>
      <c r="AC114" s="330">
        <v>0</v>
      </c>
      <c r="AD114" s="330">
        <v>0</v>
      </c>
      <c r="AE114" s="330">
        <v>0</v>
      </c>
      <c r="AF114" s="330">
        <v>0</v>
      </c>
      <c r="AG114" s="328">
        <v>0</v>
      </c>
      <c r="AH114" s="329" t="s">
        <v>934</v>
      </c>
      <c r="AI114" s="184">
        <v>1</v>
      </c>
      <c r="AJ114" s="184">
        <v>16</v>
      </c>
      <c r="AK114" s="184">
        <v>34</v>
      </c>
      <c r="AL114" s="184">
        <v>68</v>
      </c>
      <c r="AM114" s="184">
        <v>67</v>
      </c>
      <c r="AN114" s="184">
        <v>46</v>
      </c>
      <c r="AO114" s="184">
        <v>36</v>
      </c>
      <c r="AP114" s="184">
        <v>21</v>
      </c>
      <c r="AQ114" s="336">
        <v>289</v>
      </c>
      <c r="AR114" s="323">
        <v>0</v>
      </c>
      <c r="AS114" s="323">
        <v>837</v>
      </c>
      <c r="AT114" s="323">
        <v>2982</v>
      </c>
      <c r="AU114" s="323">
        <v>4640</v>
      </c>
      <c r="AV114" s="323">
        <v>3918</v>
      </c>
      <c r="AW114" s="323">
        <v>2167</v>
      </c>
      <c r="AX114" s="323">
        <v>1301</v>
      </c>
      <c r="AY114" s="323">
        <v>817</v>
      </c>
      <c r="AZ114" s="323">
        <v>89</v>
      </c>
      <c r="BA114" s="323">
        <v>16751</v>
      </c>
      <c r="BB114" s="331">
        <v>0</v>
      </c>
      <c r="BC114" s="330">
        <v>4</v>
      </c>
      <c r="BD114" s="330">
        <v>24</v>
      </c>
      <c r="BE114" s="330">
        <v>75</v>
      </c>
      <c r="BF114" s="330">
        <v>111</v>
      </c>
      <c r="BG114" s="330">
        <v>71</v>
      </c>
      <c r="BH114" s="330">
        <v>38</v>
      </c>
      <c r="BI114" s="330">
        <v>40</v>
      </c>
      <c r="BJ114" s="330">
        <v>9</v>
      </c>
      <c r="BK114" s="328">
        <v>372</v>
      </c>
      <c r="BL114" s="323">
        <v>0</v>
      </c>
      <c r="BM114" s="323">
        <v>0</v>
      </c>
      <c r="BN114" s="323">
        <v>0</v>
      </c>
      <c r="BO114" s="323">
        <v>1</v>
      </c>
      <c r="BP114" s="323">
        <v>1</v>
      </c>
      <c r="BQ114" s="323">
        <v>2</v>
      </c>
      <c r="BR114" s="323">
        <v>1</v>
      </c>
      <c r="BS114" s="323">
        <v>3</v>
      </c>
      <c r="BT114" s="323">
        <v>2</v>
      </c>
      <c r="BU114" s="323">
        <v>10</v>
      </c>
      <c r="BV114" s="329" t="s">
        <v>934</v>
      </c>
      <c r="BW114" s="330">
        <v>65</v>
      </c>
      <c r="BX114" s="330">
        <v>38</v>
      </c>
      <c r="BY114" s="330">
        <v>68</v>
      </c>
      <c r="BZ114" s="330">
        <v>50</v>
      </c>
      <c r="CA114" s="330">
        <v>34</v>
      </c>
      <c r="CB114" s="330">
        <v>35</v>
      </c>
      <c r="CC114" s="330">
        <v>32</v>
      </c>
      <c r="CD114" s="330">
        <v>10</v>
      </c>
      <c r="CE114" s="328">
        <v>332</v>
      </c>
      <c r="CF114" s="322" t="s">
        <v>934</v>
      </c>
      <c r="CG114" s="323">
        <v>61</v>
      </c>
      <c r="CH114" s="323">
        <v>95</v>
      </c>
      <c r="CI114" s="323">
        <v>163</v>
      </c>
      <c r="CJ114" s="323">
        <v>153</v>
      </c>
      <c r="CK114" s="323">
        <v>103</v>
      </c>
      <c r="CL114" s="323">
        <v>56</v>
      </c>
      <c r="CM114" s="323">
        <v>89</v>
      </c>
      <c r="CN114" s="323">
        <v>33</v>
      </c>
      <c r="CO114" s="323">
        <v>753</v>
      </c>
      <c r="CP114" s="329" t="s">
        <v>934</v>
      </c>
      <c r="CQ114" s="330">
        <v>0</v>
      </c>
      <c r="CR114" s="330">
        <v>0</v>
      </c>
      <c r="CS114" s="330">
        <v>0</v>
      </c>
      <c r="CT114" s="330">
        <v>0</v>
      </c>
      <c r="CU114" s="330">
        <v>0</v>
      </c>
      <c r="CV114" s="330">
        <v>0</v>
      </c>
      <c r="CW114" s="330">
        <v>0</v>
      </c>
      <c r="CX114" s="330">
        <v>0</v>
      </c>
      <c r="CY114" s="328">
        <v>0</v>
      </c>
      <c r="CZ114" s="322" t="s">
        <v>934</v>
      </c>
      <c r="DA114" s="323">
        <v>0</v>
      </c>
      <c r="DB114" s="323">
        <v>0</v>
      </c>
      <c r="DC114" s="323">
        <v>0</v>
      </c>
      <c r="DD114" s="323">
        <v>0</v>
      </c>
      <c r="DE114" s="323">
        <v>0</v>
      </c>
      <c r="DF114" s="323">
        <v>0</v>
      </c>
      <c r="DG114" s="323">
        <v>0</v>
      </c>
      <c r="DH114" s="323">
        <v>0</v>
      </c>
      <c r="DI114" s="323">
        <v>0</v>
      </c>
      <c r="DJ114" s="337">
        <v>0</v>
      </c>
      <c r="DK114" s="644">
        <v>53897.3</v>
      </c>
      <c r="DL114" s="614">
        <v>1618</v>
      </c>
      <c r="DM114" s="614">
        <v>4631</v>
      </c>
      <c r="DN114" s="614">
        <v>11038</v>
      </c>
      <c r="DO114" s="614">
        <v>13490</v>
      </c>
      <c r="DP114" s="614">
        <v>9089</v>
      </c>
      <c r="DQ114" s="614">
        <v>6541</v>
      </c>
      <c r="DR114" s="614">
        <v>5742</v>
      </c>
      <c r="DS114" s="615">
        <v>1061</v>
      </c>
      <c r="DT114" s="607">
        <f t="shared" si="1"/>
        <v>53210</v>
      </c>
      <c r="DU114" s="342"/>
      <c r="EC114" s="646"/>
      <c r="EF114" s="123"/>
      <c r="EG114" s="124"/>
    </row>
    <row r="115" spans="1:137" ht="15">
      <c r="A115" s="22">
        <v>107</v>
      </c>
      <c r="B115" s="23" t="s">
        <v>859</v>
      </c>
      <c r="C115" s="24" t="s">
        <v>344</v>
      </c>
      <c r="D115" s="613"/>
      <c r="E115" s="628">
        <v>133</v>
      </c>
      <c r="F115" s="628">
        <v>1123</v>
      </c>
      <c r="G115" s="628">
        <v>4379</v>
      </c>
      <c r="H115" s="628">
        <v>7813</v>
      </c>
      <c r="I115" s="628">
        <v>7484</v>
      </c>
      <c r="J115" s="628">
        <v>4339</v>
      </c>
      <c r="K115" s="628">
        <v>3759</v>
      </c>
      <c r="L115" s="628">
        <v>122</v>
      </c>
      <c r="M115" s="627">
        <v>29152</v>
      </c>
      <c r="N115" s="322"/>
      <c r="O115" s="323">
        <v>19</v>
      </c>
      <c r="P115" s="323">
        <v>66</v>
      </c>
      <c r="Q115" s="323">
        <v>181</v>
      </c>
      <c r="R115" s="323">
        <v>199</v>
      </c>
      <c r="S115" s="323">
        <v>135</v>
      </c>
      <c r="T115" s="323">
        <v>57</v>
      </c>
      <c r="U115" s="323">
        <v>70</v>
      </c>
      <c r="V115" s="323">
        <v>7</v>
      </c>
      <c r="W115" s="323">
        <v>734</v>
      </c>
      <c r="X115" s="329" t="s">
        <v>934</v>
      </c>
      <c r="Y115" s="330">
        <v>0</v>
      </c>
      <c r="Z115" s="330">
        <v>1</v>
      </c>
      <c r="AA115" s="330">
        <v>0</v>
      </c>
      <c r="AB115" s="330">
        <v>0</v>
      </c>
      <c r="AC115" s="330">
        <v>2</v>
      </c>
      <c r="AD115" s="330">
        <v>3</v>
      </c>
      <c r="AE115" s="330">
        <v>1</v>
      </c>
      <c r="AF115" s="330">
        <v>0</v>
      </c>
      <c r="AG115" s="328">
        <v>7</v>
      </c>
      <c r="AH115" s="329" t="s">
        <v>934</v>
      </c>
      <c r="AI115" s="184">
        <v>2</v>
      </c>
      <c r="AJ115" s="184">
        <v>8</v>
      </c>
      <c r="AK115" s="184">
        <v>13</v>
      </c>
      <c r="AL115" s="184">
        <v>52</v>
      </c>
      <c r="AM115" s="184">
        <v>63</v>
      </c>
      <c r="AN115" s="184">
        <v>37</v>
      </c>
      <c r="AO115" s="184">
        <v>34</v>
      </c>
      <c r="AP115" s="184">
        <v>2</v>
      </c>
      <c r="AQ115" s="336">
        <v>211</v>
      </c>
      <c r="AR115" s="323">
        <v>1</v>
      </c>
      <c r="AS115" s="323">
        <v>64</v>
      </c>
      <c r="AT115" s="323">
        <v>682</v>
      </c>
      <c r="AU115" s="323">
        <v>2217</v>
      </c>
      <c r="AV115" s="323">
        <v>2570</v>
      </c>
      <c r="AW115" s="323">
        <v>1834</v>
      </c>
      <c r="AX115" s="323">
        <v>765</v>
      </c>
      <c r="AY115" s="323">
        <v>495</v>
      </c>
      <c r="AZ115" s="323">
        <v>10</v>
      </c>
      <c r="BA115" s="323">
        <v>8638</v>
      </c>
      <c r="BB115" s="331">
        <v>0</v>
      </c>
      <c r="BC115" s="330">
        <v>0</v>
      </c>
      <c r="BD115" s="330">
        <v>5</v>
      </c>
      <c r="BE115" s="330">
        <v>46</v>
      </c>
      <c r="BF115" s="330">
        <v>77</v>
      </c>
      <c r="BG115" s="330">
        <v>51</v>
      </c>
      <c r="BH115" s="330">
        <v>33</v>
      </c>
      <c r="BI115" s="330">
        <v>22</v>
      </c>
      <c r="BJ115" s="330">
        <v>3</v>
      </c>
      <c r="BK115" s="328">
        <v>237</v>
      </c>
      <c r="BL115" s="323">
        <v>0</v>
      </c>
      <c r="BM115" s="323">
        <v>1</v>
      </c>
      <c r="BN115" s="323">
        <v>1</v>
      </c>
      <c r="BO115" s="323">
        <v>2</v>
      </c>
      <c r="BP115" s="323">
        <v>7</v>
      </c>
      <c r="BQ115" s="323">
        <v>3</v>
      </c>
      <c r="BR115" s="323">
        <v>9</v>
      </c>
      <c r="BS115" s="323">
        <v>10</v>
      </c>
      <c r="BT115" s="323">
        <v>2</v>
      </c>
      <c r="BU115" s="323">
        <v>35</v>
      </c>
      <c r="BV115" s="329" t="s">
        <v>934</v>
      </c>
      <c r="BW115" s="330">
        <v>4</v>
      </c>
      <c r="BX115" s="330">
        <v>6</v>
      </c>
      <c r="BY115" s="330">
        <v>58</v>
      </c>
      <c r="BZ115" s="330">
        <v>43</v>
      </c>
      <c r="CA115" s="330">
        <v>26</v>
      </c>
      <c r="CB115" s="330">
        <v>9</v>
      </c>
      <c r="CC115" s="330">
        <v>8</v>
      </c>
      <c r="CD115" s="330">
        <v>0</v>
      </c>
      <c r="CE115" s="328">
        <v>154</v>
      </c>
      <c r="CF115" s="322" t="s">
        <v>934</v>
      </c>
      <c r="CG115" s="323">
        <v>0</v>
      </c>
      <c r="CH115" s="323">
        <v>0</v>
      </c>
      <c r="CI115" s="323">
        <v>0</v>
      </c>
      <c r="CJ115" s="323">
        <v>0</v>
      </c>
      <c r="CK115" s="323">
        <v>0</v>
      </c>
      <c r="CL115" s="323">
        <v>0</v>
      </c>
      <c r="CM115" s="323">
        <v>0</v>
      </c>
      <c r="CN115" s="323">
        <v>0</v>
      </c>
      <c r="CO115" s="323">
        <v>0</v>
      </c>
      <c r="CP115" s="329" t="s">
        <v>934</v>
      </c>
      <c r="CQ115" s="330">
        <v>14</v>
      </c>
      <c r="CR115" s="330">
        <v>35</v>
      </c>
      <c r="CS115" s="330">
        <v>53</v>
      </c>
      <c r="CT115" s="330">
        <v>44</v>
      </c>
      <c r="CU115" s="330">
        <v>30</v>
      </c>
      <c r="CV115" s="330">
        <v>8</v>
      </c>
      <c r="CW115" s="330">
        <v>24</v>
      </c>
      <c r="CX115" s="330">
        <v>2</v>
      </c>
      <c r="CY115" s="328">
        <v>210</v>
      </c>
      <c r="CZ115" s="322" t="s">
        <v>934</v>
      </c>
      <c r="DA115" s="323">
        <v>0</v>
      </c>
      <c r="DB115" s="323">
        <v>0</v>
      </c>
      <c r="DC115" s="323">
        <v>0</v>
      </c>
      <c r="DD115" s="323">
        <v>0</v>
      </c>
      <c r="DE115" s="323">
        <v>0</v>
      </c>
      <c r="DF115" s="323">
        <v>0</v>
      </c>
      <c r="DG115" s="323">
        <v>0</v>
      </c>
      <c r="DH115" s="323">
        <v>0</v>
      </c>
      <c r="DI115" s="323">
        <v>0</v>
      </c>
      <c r="DJ115" s="337">
        <v>0</v>
      </c>
      <c r="DK115" s="644">
        <v>31242.5</v>
      </c>
      <c r="DL115" s="614">
        <v>118</v>
      </c>
      <c r="DM115" s="614">
        <v>1130</v>
      </c>
      <c r="DN115" s="614">
        <v>4481</v>
      </c>
      <c r="DO115" s="614">
        <v>7959</v>
      </c>
      <c r="DP115" s="614">
        <v>7558</v>
      </c>
      <c r="DQ115" s="614">
        <v>4379</v>
      </c>
      <c r="DR115" s="614">
        <v>3764</v>
      </c>
      <c r="DS115" s="615">
        <v>122</v>
      </c>
      <c r="DT115" s="607">
        <f t="shared" si="1"/>
        <v>29511</v>
      </c>
      <c r="DU115" s="342"/>
      <c r="EC115" s="646"/>
      <c r="EF115" s="126"/>
      <c r="EG115" s="124"/>
    </row>
    <row r="116" spans="1:137" ht="15">
      <c r="A116" s="22">
        <v>108</v>
      </c>
      <c r="B116" s="23" t="s">
        <v>345</v>
      </c>
      <c r="C116" s="24" t="s">
        <v>346</v>
      </c>
      <c r="D116" s="613"/>
      <c r="E116" s="629">
        <v>20458</v>
      </c>
      <c r="F116" s="629">
        <v>12716</v>
      </c>
      <c r="G116" s="629">
        <v>7198</v>
      </c>
      <c r="H116" s="629">
        <v>4848</v>
      </c>
      <c r="I116" s="629">
        <v>2078</v>
      </c>
      <c r="J116" s="629">
        <v>743</v>
      </c>
      <c r="K116" s="629">
        <v>478</v>
      </c>
      <c r="L116" s="629">
        <v>36</v>
      </c>
      <c r="M116" s="627">
        <v>48555</v>
      </c>
      <c r="N116" s="322"/>
      <c r="O116" s="323">
        <v>675</v>
      </c>
      <c r="P116" s="323">
        <v>234</v>
      </c>
      <c r="Q116" s="323">
        <v>146</v>
      </c>
      <c r="R116" s="323">
        <v>72</v>
      </c>
      <c r="S116" s="323">
        <v>33</v>
      </c>
      <c r="T116" s="323">
        <v>17</v>
      </c>
      <c r="U116" s="323">
        <v>9</v>
      </c>
      <c r="V116" s="323">
        <v>5</v>
      </c>
      <c r="W116" s="323">
        <v>1191</v>
      </c>
      <c r="X116" s="331">
        <v>0</v>
      </c>
      <c r="Y116" s="330">
        <v>0</v>
      </c>
      <c r="Z116" s="330">
        <v>0</v>
      </c>
      <c r="AA116" s="330">
        <v>0</v>
      </c>
      <c r="AB116" s="330">
        <v>0</v>
      </c>
      <c r="AC116" s="330">
        <v>0</v>
      </c>
      <c r="AD116" s="330">
        <v>0</v>
      </c>
      <c r="AE116" s="330">
        <v>0</v>
      </c>
      <c r="AF116" s="330">
        <v>0</v>
      </c>
      <c r="AG116" s="328">
        <v>0</v>
      </c>
      <c r="AH116" s="331">
        <v>0</v>
      </c>
      <c r="AI116" s="184">
        <v>56</v>
      </c>
      <c r="AJ116" s="184">
        <v>75</v>
      </c>
      <c r="AK116" s="184">
        <v>48</v>
      </c>
      <c r="AL116" s="184">
        <v>32</v>
      </c>
      <c r="AM116" s="184">
        <v>27</v>
      </c>
      <c r="AN116" s="184">
        <v>7</v>
      </c>
      <c r="AO116" s="184">
        <v>11</v>
      </c>
      <c r="AP116" s="184">
        <v>21</v>
      </c>
      <c r="AQ116" s="336">
        <v>277</v>
      </c>
      <c r="AR116" s="323">
        <v>8</v>
      </c>
      <c r="AS116" s="323">
        <v>9272</v>
      </c>
      <c r="AT116" s="323">
        <v>3933</v>
      </c>
      <c r="AU116" s="323">
        <v>1940</v>
      </c>
      <c r="AV116" s="323">
        <v>914</v>
      </c>
      <c r="AW116" s="323">
        <v>311</v>
      </c>
      <c r="AX116" s="323">
        <v>116</v>
      </c>
      <c r="AY116" s="323">
        <v>60</v>
      </c>
      <c r="AZ116" s="323">
        <v>2</v>
      </c>
      <c r="BA116" s="323">
        <v>16556</v>
      </c>
      <c r="BB116" s="331">
        <v>1</v>
      </c>
      <c r="BC116" s="330">
        <v>202</v>
      </c>
      <c r="BD116" s="330">
        <v>121</v>
      </c>
      <c r="BE116" s="330">
        <v>40</v>
      </c>
      <c r="BF116" s="330">
        <v>29</v>
      </c>
      <c r="BG116" s="330">
        <v>8</v>
      </c>
      <c r="BH116" s="330">
        <v>2</v>
      </c>
      <c r="BI116" s="330">
        <v>0</v>
      </c>
      <c r="BJ116" s="330">
        <v>0</v>
      </c>
      <c r="BK116" s="328">
        <v>403</v>
      </c>
      <c r="BL116" s="323">
        <v>0</v>
      </c>
      <c r="BM116" s="323">
        <v>77</v>
      </c>
      <c r="BN116" s="323">
        <v>38</v>
      </c>
      <c r="BO116" s="323">
        <v>25</v>
      </c>
      <c r="BP116" s="323">
        <v>14</v>
      </c>
      <c r="BQ116" s="323">
        <v>8</v>
      </c>
      <c r="BR116" s="323">
        <v>7</v>
      </c>
      <c r="BS116" s="323">
        <v>22</v>
      </c>
      <c r="BT116" s="323">
        <v>0</v>
      </c>
      <c r="BU116" s="323">
        <v>191</v>
      </c>
      <c r="BV116" s="331">
        <v>0</v>
      </c>
      <c r="BW116" s="330">
        <v>11</v>
      </c>
      <c r="BX116" s="330">
        <v>10</v>
      </c>
      <c r="BY116" s="330">
        <v>5</v>
      </c>
      <c r="BZ116" s="330">
        <v>3</v>
      </c>
      <c r="CA116" s="330">
        <v>0</v>
      </c>
      <c r="CB116" s="330">
        <v>1</v>
      </c>
      <c r="CC116" s="330">
        <v>1</v>
      </c>
      <c r="CD116" s="330">
        <v>0</v>
      </c>
      <c r="CE116" s="328">
        <v>31</v>
      </c>
      <c r="CF116" s="323">
        <v>0</v>
      </c>
      <c r="CG116" s="323">
        <v>358</v>
      </c>
      <c r="CH116" s="323">
        <v>106</v>
      </c>
      <c r="CI116" s="323">
        <v>59</v>
      </c>
      <c r="CJ116" s="323">
        <v>31</v>
      </c>
      <c r="CK116" s="323">
        <v>12</v>
      </c>
      <c r="CL116" s="323">
        <v>6</v>
      </c>
      <c r="CM116" s="323">
        <v>5</v>
      </c>
      <c r="CN116" s="323">
        <v>0</v>
      </c>
      <c r="CO116" s="323">
        <v>577</v>
      </c>
      <c r="CP116" s="331">
        <v>0</v>
      </c>
      <c r="CQ116" s="330">
        <v>0</v>
      </c>
      <c r="CR116" s="330">
        <v>0</v>
      </c>
      <c r="CS116" s="330">
        <v>0</v>
      </c>
      <c r="CT116" s="330">
        <v>0</v>
      </c>
      <c r="CU116" s="330">
        <v>0</v>
      </c>
      <c r="CV116" s="330">
        <v>0</v>
      </c>
      <c r="CW116" s="330">
        <v>0</v>
      </c>
      <c r="CX116" s="330">
        <v>0</v>
      </c>
      <c r="CY116" s="328">
        <v>0</v>
      </c>
      <c r="CZ116" s="323">
        <v>0</v>
      </c>
      <c r="DA116" s="323">
        <v>0</v>
      </c>
      <c r="DB116" s="323">
        <v>0</v>
      </c>
      <c r="DC116" s="323">
        <v>0</v>
      </c>
      <c r="DD116" s="323">
        <v>0</v>
      </c>
      <c r="DE116" s="323">
        <v>0</v>
      </c>
      <c r="DF116" s="323">
        <v>0</v>
      </c>
      <c r="DG116" s="323">
        <v>0</v>
      </c>
      <c r="DH116" s="323">
        <v>0</v>
      </c>
      <c r="DI116" s="323">
        <v>0</v>
      </c>
      <c r="DJ116" s="337">
        <v>0</v>
      </c>
      <c r="DK116" s="644">
        <v>34764.7</v>
      </c>
      <c r="DL116" s="616">
        <v>20430</v>
      </c>
      <c r="DM116" s="616">
        <v>12894</v>
      </c>
      <c r="DN116" s="616">
        <v>7300</v>
      </c>
      <c r="DO116" s="616">
        <v>4857</v>
      </c>
      <c r="DP116" s="616">
        <v>2091</v>
      </c>
      <c r="DQ116" s="616">
        <v>748</v>
      </c>
      <c r="DR116" s="616">
        <v>476</v>
      </c>
      <c r="DS116" s="617">
        <v>37</v>
      </c>
      <c r="DT116" s="607">
        <f t="shared" si="1"/>
        <v>48833</v>
      </c>
      <c r="DU116" s="342"/>
      <c r="EC116" s="646"/>
      <c r="EF116" s="125"/>
      <c r="EG116" s="124"/>
    </row>
    <row r="117" spans="1:137" ht="15">
      <c r="A117" s="22">
        <v>109</v>
      </c>
      <c r="B117" s="23" t="s">
        <v>347</v>
      </c>
      <c r="C117" s="24" t="s">
        <v>348</v>
      </c>
      <c r="D117" s="613"/>
      <c r="E117" s="629">
        <v>9119</v>
      </c>
      <c r="F117" s="629">
        <v>13442</v>
      </c>
      <c r="G117" s="629">
        <v>12884</v>
      </c>
      <c r="H117" s="629">
        <v>7216</v>
      </c>
      <c r="I117" s="629">
        <v>3570</v>
      </c>
      <c r="J117" s="629">
        <v>1636</v>
      </c>
      <c r="K117" s="629">
        <v>798</v>
      </c>
      <c r="L117" s="629">
        <v>56</v>
      </c>
      <c r="M117" s="627">
        <v>48721</v>
      </c>
      <c r="N117" s="322"/>
      <c r="O117" s="323">
        <v>241</v>
      </c>
      <c r="P117" s="323">
        <v>437</v>
      </c>
      <c r="Q117" s="323">
        <v>679</v>
      </c>
      <c r="R117" s="323">
        <v>389</v>
      </c>
      <c r="S117" s="323">
        <v>187</v>
      </c>
      <c r="T117" s="323">
        <v>55</v>
      </c>
      <c r="U117" s="323">
        <v>26</v>
      </c>
      <c r="V117" s="323">
        <v>23</v>
      </c>
      <c r="W117" s="323">
        <v>2037</v>
      </c>
      <c r="X117" s="329" t="s">
        <v>934</v>
      </c>
      <c r="Y117" s="330">
        <v>2</v>
      </c>
      <c r="Z117" s="330">
        <v>0</v>
      </c>
      <c r="AA117" s="330">
        <v>0</v>
      </c>
      <c r="AB117" s="330">
        <v>0</v>
      </c>
      <c r="AC117" s="330">
        <v>1</v>
      </c>
      <c r="AD117" s="330">
        <v>0</v>
      </c>
      <c r="AE117" s="330">
        <v>0</v>
      </c>
      <c r="AF117" s="330">
        <v>0</v>
      </c>
      <c r="AG117" s="328">
        <v>3</v>
      </c>
      <c r="AH117" s="329" t="s">
        <v>934</v>
      </c>
      <c r="AI117" s="184">
        <v>10</v>
      </c>
      <c r="AJ117" s="184">
        <v>41</v>
      </c>
      <c r="AK117" s="184">
        <v>57</v>
      </c>
      <c r="AL117" s="184">
        <v>39</v>
      </c>
      <c r="AM117" s="184">
        <v>28</v>
      </c>
      <c r="AN117" s="184">
        <v>16</v>
      </c>
      <c r="AO117" s="184">
        <v>27</v>
      </c>
      <c r="AP117" s="184">
        <v>12</v>
      </c>
      <c r="AQ117" s="336">
        <v>230</v>
      </c>
      <c r="AR117" s="323">
        <v>5</v>
      </c>
      <c r="AS117" s="323">
        <v>5418</v>
      </c>
      <c r="AT117" s="323">
        <v>5280</v>
      </c>
      <c r="AU117" s="323">
        <v>3754</v>
      </c>
      <c r="AV117" s="323">
        <v>1715</v>
      </c>
      <c r="AW117" s="323">
        <v>687</v>
      </c>
      <c r="AX117" s="323">
        <v>298</v>
      </c>
      <c r="AY117" s="323">
        <v>127</v>
      </c>
      <c r="AZ117" s="323">
        <v>3</v>
      </c>
      <c r="BA117" s="323">
        <v>17287</v>
      </c>
      <c r="BB117" s="331">
        <v>0</v>
      </c>
      <c r="BC117" s="330">
        <v>60</v>
      </c>
      <c r="BD117" s="330">
        <v>126</v>
      </c>
      <c r="BE117" s="330">
        <v>96</v>
      </c>
      <c r="BF117" s="330">
        <v>50</v>
      </c>
      <c r="BG117" s="330">
        <v>26</v>
      </c>
      <c r="BH117" s="330">
        <v>7</v>
      </c>
      <c r="BI117" s="330">
        <v>3</v>
      </c>
      <c r="BJ117" s="330">
        <v>0</v>
      </c>
      <c r="BK117" s="328">
        <v>368</v>
      </c>
      <c r="BL117" s="323">
        <v>0</v>
      </c>
      <c r="BM117" s="323">
        <v>7</v>
      </c>
      <c r="BN117" s="323">
        <v>9</v>
      </c>
      <c r="BO117" s="323">
        <v>14</v>
      </c>
      <c r="BP117" s="323">
        <v>21</v>
      </c>
      <c r="BQ117" s="323">
        <v>14</v>
      </c>
      <c r="BR117" s="323">
        <v>25</v>
      </c>
      <c r="BS117" s="323">
        <v>23</v>
      </c>
      <c r="BT117" s="323">
        <v>6</v>
      </c>
      <c r="BU117" s="323">
        <v>119</v>
      </c>
      <c r="BV117" s="329" t="s">
        <v>934</v>
      </c>
      <c r="BW117" s="330">
        <v>84</v>
      </c>
      <c r="BX117" s="330">
        <v>102</v>
      </c>
      <c r="BY117" s="330">
        <v>126</v>
      </c>
      <c r="BZ117" s="330">
        <v>79</v>
      </c>
      <c r="CA117" s="330">
        <v>50</v>
      </c>
      <c r="CB117" s="330">
        <v>13</v>
      </c>
      <c r="CC117" s="330">
        <v>10</v>
      </c>
      <c r="CD117" s="330">
        <v>0</v>
      </c>
      <c r="CE117" s="328">
        <v>464</v>
      </c>
      <c r="CF117" s="322" t="s">
        <v>934</v>
      </c>
      <c r="CG117" s="323">
        <v>0</v>
      </c>
      <c r="CH117" s="323">
        <v>0</v>
      </c>
      <c r="CI117" s="323">
        <v>0</v>
      </c>
      <c r="CJ117" s="323">
        <v>0</v>
      </c>
      <c r="CK117" s="323">
        <v>0</v>
      </c>
      <c r="CL117" s="323">
        <v>0</v>
      </c>
      <c r="CM117" s="323">
        <v>0</v>
      </c>
      <c r="CN117" s="323">
        <v>0</v>
      </c>
      <c r="CO117" s="323">
        <v>0</v>
      </c>
      <c r="CP117" s="329" t="s">
        <v>934</v>
      </c>
      <c r="CQ117" s="330">
        <v>0</v>
      </c>
      <c r="CR117" s="330">
        <v>0</v>
      </c>
      <c r="CS117" s="330">
        <v>0</v>
      </c>
      <c r="CT117" s="330">
        <v>0</v>
      </c>
      <c r="CU117" s="330">
        <v>0</v>
      </c>
      <c r="CV117" s="330">
        <v>0</v>
      </c>
      <c r="CW117" s="330">
        <v>0</v>
      </c>
      <c r="CX117" s="330">
        <v>0</v>
      </c>
      <c r="CY117" s="328">
        <v>0</v>
      </c>
      <c r="CZ117" s="322" t="s">
        <v>934</v>
      </c>
      <c r="DA117" s="323">
        <v>106</v>
      </c>
      <c r="DB117" s="323">
        <v>83</v>
      </c>
      <c r="DC117" s="323">
        <v>64</v>
      </c>
      <c r="DD117" s="323">
        <v>34</v>
      </c>
      <c r="DE117" s="323">
        <v>12</v>
      </c>
      <c r="DF117" s="323">
        <v>3</v>
      </c>
      <c r="DG117" s="323">
        <v>3</v>
      </c>
      <c r="DH117" s="323">
        <v>0</v>
      </c>
      <c r="DI117" s="323">
        <v>305</v>
      </c>
      <c r="DJ117" s="337">
        <v>25.7</v>
      </c>
      <c r="DK117" s="644">
        <v>37511.7</v>
      </c>
      <c r="DL117" s="616">
        <v>9373</v>
      </c>
      <c r="DM117" s="616">
        <v>13814</v>
      </c>
      <c r="DN117" s="616">
        <v>13035</v>
      </c>
      <c r="DO117" s="616">
        <v>7358</v>
      </c>
      <c r="DP117" s="616">
        <v>3620</v>
      </c>
      <c r="DQ117" s="616">
        <v>1640</v>
      </c>
      <c r="DR117" s="616">
        <v>799</v>
      </c>
      <c r="DS117" s="617">
        <v>57</v>
      </c>
      <c r="DT117" s="607">
        <f t="shared" si="1"/>
        <v>49696</v>
      </c>
      <c r="DU117" s="342"/>
      <c r="EC117" s="646"/>
      <c r="EF117" s="125"/>
      <c r="EG117" s="124"/>
    </row>
    <row r="118" spans="1:137" ht="15">
      <c r="A118" s="22">
        <v>110</v>
      </c>
      <c r="B118" s="23" t="s">
        <v>349</v>
      </c>
      <c r="C118" s="24" t="s">
        <v>350</v>
      </c>
      <c r="D118" s="613"/>
      <c r="E118" s="628">
        <v>2983</v>
      </c>
      <c r="F118" s="628">
        <v>6157</v>
      </c>
      <c r="G118" s="628">
        <v>14662</v>
      </c>
      <c r="H118" s="628">
        <v>9715</v>
      </c>
      <c r="I118" s="628">
        <v>7551</v>
      </c>
      <c r="J118" s="628">
        <v>3214</v>
      </c>
      <c r="K118" s="628">
        <v>1340</v>
      </c>
      <c r="L118" s="628">
        <v>96</v>
      </c>
      <c r="M118" s="627">
        <v>45718</v>
      </c>
      <c r="N118" s="322"/>
      <c r="O118" s="323">
        <v>185</v>
      </c>
      <c r="P118" s="323">
        <v>379</v>
      </c>
      <c r="Q118" s="323">
        <v>399</v>
      </c>
      <c r="R118" s="323">
        <v>186</v>
      </c>
      <c r="S118" s="323">
        <v>160</v>
      </c>
      <c r="T118" s="323">
        <v>52</v>
      </c>
      <c r="U118" s="323">
        <v>17</v>
      </c>
      <c r="V118" s="323">
        <v>6</v>
      </c>
      <c r="W118" s="323">
        <v>1384</v>
      </c>
      <c r="X118" s="329" t="s">
        <v>934</v>
      </c>
      <c r="Y118" s="330">
        <v>0</v>
      </c>
      <c r="Z118" s="330">
        <v>0</v>
      </c>
      <c r="AA118" s="330">
        <v>0</v>
      </c>
      <c r="AB118" s="330">
        <v>0</v>
      </c>
      <c r="AC118" s="330">
        <v>0</v>
      </c>
      <c r="AD118" s="330">
        <v>0</v>
      </c>
      <c r="AE118" s="330">
        <v>0</v>
      </c>
      <c r="AF118" s="330">
        <v>0</v>
      </c>
      <c r="AG118" s="328">
        <v>0</v>
      </c>
      <c r="AH118" s="329" t="s">
        <v>934</v>
      </c>
      <c r="AI118" s="184">
        <v>15</v>
      </c>
      <c r="AJ118" s="184">
        <v>20</v>
      </c>
      <c r="AK118" s="184">
        <v>78</v>
      </c>
      <c r="AL118" s="184">
        <v>51</v>
      </c>
      <c r="AM118" s="184">
        <v>50</v>
      </c>
      <c r="AN118" s="184">
        <v>30</v>
      </c>
      <c r="AO118" s="184">
        <v>14</v>
      </c>
      <c r="AP118" s="184">
        <v>10</v>
      </c>
      <c r="AQ118" s="336">
        <v>268</v>
      </c>
      <c r="AR118" s="323">
        <v>6</v>
      </c>
      <c r="AS118" s="323">
        <v>1767</v>
      </c>
      <c r="AT118" s="323">
        <v>2540</v>
      </c>
      <c r="AU118" s="323">
        <v>4384</v>
      </c>
      <c r="AV118" s="323">
        <v>2301</v>
      </c>
      <c r="AW118" s="323">
        <v>1085</v>
      </c>
      <c r="AX118" s="323">
        <v>357</v>
      </c>
      <c r="AY118" s="323">
        <v>139</v>
      </c>
      <c r="AZ118" s="323">
        <v>8</v>
      </c>
      <c r="BA118" s="323">
        <v>12587</v>
      </c>
      <c r="BB118" s="331">
        <v>1</v>
      </c>
      <c r="BC118" s="330">
        <v>7</v>
      </c>
      <c r="BD118" s="330">
        <v>28</v>
      </c>
      <c r="BE118" s="330">
        <v>92</v>
      </c>
      <c r="BF118" s="330">
        <v>47</v>
      </c>
      <c r="BG118" s="330">
        <v>51</v>
      </c>
      <c r="BH118" s="330">
        <v>15</v>
      </c>
      <c r="BI118" s="330">
        <v>6</v>
      </c>
      <c r="BJ118" s="330">
        <v>1</v>
      </c>
      <c r="BK118" s="328">
        <v>248</v>
      </c>
      <c r="BL118" s="323">
        <v>0</v>
      </c>
      <c r="BM118" s="323">
        <v>1</v>
      </c>
      <c r="BN118" s="323">
        <v>1</v>
      </c>
      <c r="BO118" s="323">
        <v>5</v>
      </c>
      <c r="BP118" s="323">
        <v>2</v>
      </c>
      <c r="BQ118" s="323">
        <v>3</v>
      </c>
      <c r="BR118" s="323">
        <v>10</v>
      </c>
      <c r="BS118" s="323">
        <v>25</v>
      </c>
      <c r="BT118" s="323">
        <v>9</v>
      </c>
      <c r="BU118" s="323">
        <v>56</v>
      </c>
      <c r="BV118" s="329" t="s">
        <v>934</v>
      </c>
      <c r="BW118" s="330">
        <v>43</v>
      </c>
      <c r="BX118" s="330">
        <v>49</v>
      </c>
      <c r="BY118" s="330">
        <v>100</v>
      </c>
      <c r="BZ118" s="330">
        <v>32</v>
      </c>
      <c r="CA118" s="330">
        <v>26</v>
      </c>
      <c r="CB118" s="330">
        <v>19</v>
      </c>
      <c r="CC118" s="330">
        <v>9</v>
      </c>
      <c r="CD118" s="330">
        <v>2</v>
      </c>
      <c r="CE118" s="328">
        <v>280</v>
      </c>
      <c r="CF118" s="322" t="s">
        <v>934</v>
      </c>
      <c r="CG118" s="323">
        <v>0</v>
      </c>
      <c r="CH118" s="323">
        <v>0</v>
      </c>
      <c r="CI118" s="323">
        <v>0</v>
      </c>
      <c r="CJ118" s="323">
        <v>0</v>
      </c>
      <c r="CK118" s="323">
        <v>0</v>
      </c>
      <c r="CL118" s="323">
        <v>0</v>
      </c>
      <c r="CM118" s="323">
        <v>0</v>
      </c>
      <c r="CN118" s="323">
        <v>0</v>
      </c>
      <c r="CO118" s="323">
        <v>0</v>
      </c>
      <c r="CP118" s="329" t="s">
        <v>934</v>
      </c>
      <c r="CQ118" s="330">
        <v>60</v>
      </c>
      <c r="CR118" s="330">
        <v>86</v>
      </c>
      <c r="CS118" s="330">
        <v>81</v>
      </c>
      <c r="CT118" s="330">
        <v>39</v>
      </c>
      <c r="CU118" s="330">
        <v>23</v>
      </c>
      <c r="CV118" s="330">
        <v>11</v>
      </c>
      <c r="CW118" s="330">
        <v>8</v>
      </c>
      <c r="CX118" s="330">
        <v>1</v>
      </c>
      <c r="CY118" s="328">
        <v>309</v>
      </c>
      <c r="CZ118" s="322" t="s">
        <v>934</v>
      </c>
      <c r="DA118" s="323">
        <v>0</v>
      </c>
      <c r="DB118" s="323">
        <v>0</v>
      </c>
      <c r="DC118" s="323">
        <v>0</v>
      </c>
      <c r="DD118" s="323">
        <v>0</v>
      </c>
      <c r="DE118" s="323">
        <v>0</v>
      </c>
      <c r="DF118" s="323">
        <v>0</v>
      </c>
      <c r="DG118" s="323">
        <v>0</v>
      </c>
      <c r="DH118" s="323">
        <v>0</v>
      </c>
      <c r="DI118" s="323">
        <v>0</v>
      </c>
      <c r="DJ118" s="337">
        <v>362.3</v>
      </c>
      <c r="DK118" s="644">
        <v>41777.6</v>
      </c>
      <c r="DL118" s="614">
        <v>3068</v>
      </c>
      <c r="DM118" s="614">
        <v>6326</v>
      </c>
      <c r="DN118" s="614">
        <v>14806</v>
      </c>
      <c r="DO118" s="614">
        <v>9831</v>
      </c>
      <c r="DP118" s="614">
        <v>7602</v>
      </c>
      <c r="DQ118" s="614">
        <v>3246</v>
      </c>
      <c r="DR118" s="614">
        <v>1359</v>
      </c>
      <c r="DS118" s="615">
        <v>96</v>
      </c>
      <c r="DT118" s="607">
        <f t="shared" si="1"/>
        <v>46334</v>
      </c>
      <c r="DU118" s="342"/>
      <c r="EC118" s="646"/>
      <c r="EF118" s="123"/>
      <c r="EG118" s="124"/>
    </row>
    <row r="119" spans="1:137" ht="15">
      <c r="A119" s="22">
        <v>111</v>
      </c>
      <c r="B119" s="23" t="s">
        <v>351</v>
      </c>
      <c r="C119" s="24" t="s">
        <v>352</v>
      </c>
      <c r="D119" s="613"/>
      <c r="E119" s="629">
        <v>15403</v>
      </c>
      <c r="F119" s="629">
        <v>10659</v>
      </c>
      <c r="G119" s="629">
        <v>7929</v>
      </c>
      <c r="H119" s="629">
        <v>3925</v>
      </c>
      <c r="I119" s="629">
        <v>1749</v>
      </c>
      <c r="J119" s="629">
        <v>427</v>
      </c>
      <c r="K119" s="629">
        <v>148</v>
      </c>
      <c r="L119" s="629">
        <v>21</v>
      </c>
      <c r="M119" s="627">
        <v>40261</v>
      </c>
      <c r="N119" s="322"/>
      <c r="O119" s="323">
        <v>391</v>
      </c>
      <c r="P119" s="323">
        <v>189</v>
      </c>
      <c r="Q119" s="323">
        <v>101</v>
      </c>
      <c r="R119" s="323">
        <v>50</v>
      </c>
      <c r="S119" s="323">
        <v>46</v>
      </c>
      <c r="T119" s="323">
        <v>5</v>
      </c>
      <c r="U119" s="323">
        <v>2</v>
      </c>
      <c r="V119" s="323">
        <v>0</v>
      </c>
      <c r="W119" s="323">
        <v>784</v>
      </c>
      <c r="X119" s="329" t="s">
        <v>934</v>
      </c>
      <c r="Y119" s="330">
        <v>9</v>
      </c>
      <c r="Z119" s="330">
        <v>0</v>
      </c>
      <c r="AA119" s="330">
        <v>1</v>
      </c>
      <c r="AB119" s="330">
        <v>0</v>
      </c>
      <c r="AC119" s="330">
        <v>0</v>
      </c>
      <c r="AD119" s="330">
        <v>0</v>
      </c>
      <c r="AE119" s="330">
        <v>0</v>
      </c>
      <c r="AF119" s="330">
        <v>0</v>
      </c>
      <c r="AG119" s="328">
        <v>10</v>
      </c>
      <c r="AH119" s="329" t="s">
        <v>934</v>
      </c>
      <c r="AI119" s="184">
        <v>60</v>
      </c>
      <c r="AJ119" s="184">
        <v>73</v>
      </c>
      <c r="AK119" s="184">
        <v>94</v>
      </c>
      <c r="AL119" s="184">
        <v>38</v>
      </c>
      <c r="AM119" s="184">
        <v>17</v>
      </c>
      <c r="AN119" s="184">
        <v>10</v>
      </c>
      <c r="AO119" s="184">
        <v>10</v>
      </c>
      <c r="AP119" s="184">
        <v>9</v>
      </c>
      <c r="AQ119" s="336">
        <v>311</v>
      </c>
      <c r="AR119" s="323">
        <v>12</v>
      </c>
      <c r="AS119" s="323">
        <v>6727</v>
      </c>
      <c r="AT119" s="323">
        <v>3126</v>
      </c>
      <c r="AU119" s="323">
        <v>1782</v>
      </c>
      <c r="AV119" s="323">
        <v>572</v>
      </c>
      <c r="AW119" s="323">
        <v>209</v>
      </c>
      <c r="AX119" s="323">
        <v>45</v>
      </c>
      <c r="AY119" s="323">
        <v>17</v>
      </c>
      <c r="AZ119" s="323">
        <v>1</v>
      </c>
      <c r="BA119" s="323">
        <v>12491</v>
      </c>
      <c r="BB119" s="331">
        <v>1</v>
      </c>
      <c r="BC119" s="330">
        <v>64</v>
      </c>
      <c r="BD119" s="330">
        <v>71</v>
      </c>
      <c r="BE119" s="330">
        <v>47</v>
      </c>
      <c r="BF119" s="330">
        <v>20</v>
      </c>
      <c r="BG119" s="330">
        <v>9</v>
      </c>
      <c r="BH119" s="330">
        <v>3</v>
      </c>
      <c r="BI119" s="330">
        <v>2</v>
      </c>
      <c r="BJ119" s="330">
        <v>0</v>
      </c>
      <c r="BK119" s="328">
        <v>217</v>
      </c>
      <c r="BL119" s="323">
        <v>0</v>
      </c>
      <c r="BM119" s="323">
        <v>3</v>
      </c>
      <c r="BN119" s="323">
        <v>4</v>
      </c>
      <c r="BO119" s="323">
        <v>8</v>
      </c>
      <c r="BP119" s="323">
        <v>2</v>
      </c>
      <c r="BQ119" s="323">
        <v>6</v>
      </c>
      <c r="BR119" s="323">
        <v>9</v>
      </c>
      <c r="BS119" s="323">
        <v>11</v>
      </c>
      <c r="BT119" s="323">
        <v>2</v>
      </c>
      <c r="BU119" s="323">
        <v>45</v>
      </c>
      <c r="BV119" s="329" t="s">
        <v>934</v>
      </c>
      <c r="BW119" s="330">
        <v>49</v>
      </c>
      <c r="BX119" s="330">
        <v>38</v>
      </c>
      <c r="BY119" s="330">
        <v>18</v>
      </c>
      <c r="BZ119" s="330">
        <v>8</v>
      </c>
      <c r="CA119" s="330">
        <v>5</v>
      </c>
      <c r="CB119" s="330">
        <v>4</v>
      </c>
      <c r="CC119" s="330">
        <v>2</v>
      </c>
      <c r="CD119" s="330">
        <v>0</v>
      </c>
      <c r="CE119" s="328">
        <v>124</v>
      </c>
      <c r="CF119" s="322" t="s">
        <v>934</v>
      </c>
      <c r="CG119" s="323">
        <v>0</v>
      </c>
      <c r="CH119" s="323">
        <v>0</v>
      </c>
      <c r="CI119" s="323">
        <v>0</v>
      </c>
      <c r="CJ119" s="323">
        <v>0</v>
      </c>
      <c r="CK119" s="323">
        <v>0</v>
      </c>
      <c r="CL119" s="323">
        <v>0</v>
      </c>
      <c r="CM119" s="323">
        <v>0</v>
      </c>
      <c r="CN119" s="323">
        <v>0</v>
      </c>
      <c r="CO119" s="323">
        <v>0</v>
      </c>
      <c r="CP119" s="329" t="s">
        <v>934</v>
      </c>
      <c r="CQ119" s="330">
        <v>245</v>
      </c>
      <c r="CR119" s="330">
        <v>91</v>
      </c>
      <c r="CS119" s="330">
        <v>81</v>
      </c>
      <c r="CT119" s="330">
        <v>30</v>
      </c>
      <c r="CU119" s="330">
        <v>16</v>
      </c>
      <c r="CV119" s="330">
        <v>1</v>
      </c>
      <c r="CW119" s="330">
        <v>3</v>
      </c>
      <c r="CX119" s="330">
        <v>2</v>
      </c>
      <c r="CY119" s="328">
        <v>469</v>
      </c>
      <c r="CZ119" s="322" t="s">
        <v>934</v>
      </c>
      <c r="DA119" s="323">
        <v>0</v>
      </c>
      <c r="DB119" s="323">
        <v>0</v>
      </c>
      <c r="DC119" s="323">
        <v>0</v>
      </c>
      <c r="DD119" s="323">
        <v>0</v>
      </c>
      <c r="DE119" s="323">
        <v>0</v>
      </c>
      <c r="DF119" s="323">
        <v>0</v>
      </c>
      <c r="DG119" s="323">
        <v>0</v>
      </c>
      <c r="DH119" s="323">
        <v>0</v>
      </c>
      <c r="DI119" s="323">
        <v>0</v>
      </c>
      <c r="DJ119" s="337">
        <v>0</v>
      </c>
      <c r="DK119" s="644">
        <v>29432.1</v>
      </c>
      <c r="DL119" s="616">
        <v>15614</v>
      </c>
      <c r="DM119" s="616">
        <v>10913</v>
      </c>
      <c r="DN119" s="616">
        <v>8013</v>
      </c>
      <c r="DO119" s="616">
        <v>4016</v>
      </c>
      <c r="DP119" s="616">
        <v>1811</v>
      </c>
      <c r="DQ119" s="616">
        <v>447</v>
      </c>
      <c r="DR119" s="616">
        <v>148</v>
      </c>
      <c r="DS119" s="617">
        <v>22</v>
      </c>
      <c r="DT119" s="607">
        <f t="shared" si="1"/>
        <v>40984</v>
      </c>
      <c r="DU119" s="342"/>
      <c r="EC119" s="646"/>
      <c r="EF119" s="125"/>
      <c r="EG119" s="124"/>
    </row>
    <row r="120" spans="1:137" ht="15">
      <c r="A120" s="22">
        <v>112</v>
      </c>
      <c r="B120" s="23" t="s">
        <v>353</v>
      </c>
      <c r="C120" s="24" t="s">
        <v>354</v>
      </c>
      <c r="D120" s="613"/>
      <c r="E120" s="628">
        <v>5991</v>
      </c>
      <c r="F120" s="628">
        <v>9220</v>
      </c>
      <c r="G120" s="628">
        <v>4989</v>
      </c>
      <c r="H120" s="628">
        <v>3124</v>
      </c>
      <c r="I120" s="628">
        <v>1292</v>
      </c>
      <c r="J120" s="628">
        <v>602</v>
      </c>
      <c r="K120" s="628">
        <v>389</v>
      </c>
      <c r="L120" s="628">
        <v>54</v>
      </c>
      <c r="M120" s="627">
        <v>25661</v>
      </c>
      <c r="N120" s="322"/>
      <c r="O120" s="323">
        <v>792</v>
      </c>
      <c r="P120" s="323">
        <v>1968</v>
      </c>
      <c r="Q120" s="323">
        <v>1150</v>
      </c>
      <c r="R120" s="323">
        <v>793</v>
      </c>
      <c r="S120" s="323">
        <v>256</v>
      </c>
      <c r="T120" s="323">
        <v>83</v>
      </c>
      <c r="U120" s="323">
        <v>29</v>
      </c>
      <c r="V120" s="323">
        <v>4</v>
      </c>
      <c r="W120" s="323">
        <v>5075</v>
      </c>
      <c r="X120" s="329" t="s">
        <v>934</v>
      </c>
      <c r="Y120" s="330">
        <v>6</v>
      </c>
      <c r="Z120" s="330">
        <v>0</v>
      </c>
      <c r="AA120" s="330">
        <v>1</v>
      </c>
      <c r="AB120" s="330">
        <v>0</v>
      </c>
      <c r="AC120" s="330">
        <v>1</v>
      </c>
      <c r="AD120" s="330">
        <v>0</v>
      </c>
      <c r="AE120" s="330">
        <v>0</v>
      </c>
      <c r="AF120" s="330">
        <v>0</v>
      </c>
      <c r="AG120" s="328">
        <v>8</v>
      </c>
      <c r="AH120" s="329" t="s">
        <v>934</v>
      </c>
      <c r="AI120" s="184">
        <v>7</v>
      </c>
      <c r="AJ120" s="184">
        <v>34</v>
      </c>
      <c r="AK120" s="184">
        <v>46</v>
      </c>
      <c r="AL120" s="184">
        <v>32</v>
      </c>
      <c r="AM120" s="184">
        <v>15</v>
      </c>
      <c r="AN120" s="184">
        <v>9</v>
      </c>
      <c r="AO120" s="184">
        <v>2</v>
      </c>
      <c r="AP120" s="184">
        <v>5</v>
      </c>
      <c r="AQ120" s="336">
        <v>150</v>
      </c>
      <c r="AR120" s="323">
        <v>1</v>
      </c>
      <c r="AS120" s="323">
        <v>2760</v>
      </c>
      <c r="AT120" s="323">
        <v>2529</v>
      </c>
      <c r="AU120" s="323">
        <v>1023</v>
      </c>
      <c r="AV120" s="323">
        <v>482</v>
      </c>
      <c r="AW120" s="323">
        <v>170</v>
      </c>
      <c r="AX120" s="323">
        <v>93</v>
      </c>
      <c r="AY120" s="323">
        <v>48</v>
      </c>
      <c r="AZ120" s="323">
        <v>4</v>
      </c>
      <c r="BA120" s="323">
        <v>7110</v>
      </c>
      <c r="BB120" s="331">
        <v>0</v>
      </c>
      <c r="BC120" s="330">
        <v>23</v>
      </c>
      <c r="BD120" s="330">
        <v>57</v>
      </c>
      <c r="BE120" s="330">
        <v>21</v>
      </c>
      <c r="BF120" s="330">
        <v>15</v>
      </c>
      <c r="BG120" s="330">
        <v>7</v>
      </c>
      <c r="BH120" s="330">
        <v>2</v>
      </c>
      <c r="BI120" s="330">
        <v>1</v>
      </c>
      <c r="BJ120" s="330">
        <v>0</v>
      </c>
      <c r="BK120" s="328">
        <v>126</v>
      </c>
      <c r="BL120" s="323">
        <v>0</v>
      </c>
      <c r="BM120" s="323">
        <v>4</v>
      </c>
      <c r="BN120" s="323">
        <v>3</v>
      </c>
      <c r="BO120" s="323">
        <v>2</v>
      </c>
      <c r="BP120" s="323">
        <v>0</v>
      </c>
      <c r="BQ120" s="323">
        <v>6</v>
      </c>
      <c r="BR120" s="323">
        <v>1</v>
      </c>
      <c r="BS120" s="323">
        <v>9</v>
      </c>
      <c r="BT120" s="323">
        <v>1</v>
      </c>
      <c r="BU120" s="323">
        <v>26</v>
      </c>
      <c r="BV120" s="329" t="s">
        <v>934</v>
      </c>
      <c r="BW120" s="330">
        <v>37</v>
      </c>
      <c r="BX120" s="330">
        <v>39</v>
      </c>
      <c r="BY120" s="330">
        <v>33</v>
      </c>
      <c r="BZ120" s="330">
        <v>18</v>
      </c>
      <c r="CA120" s="330">
        <v>19</v>
      </c>
      <c r="CB120" s="330">
        <v>7</v>
      </c>
      <c r="CC120" s="330">
        <v>10</v>
      </c>
      <c r="CD120" s="330">
        <v>6</v>
      </c>
      <c r="CE120" s="328">
        <v>169</v>
      </c>
      <c r="CF120" s="322" t="s">
        <v>934</v>
      </c>
      <c r="CG120" s="323">
        <v>0</v>
      </c>
      <c r="CH120" s="323">
        <v>0</v>
      </c>
      <c r="CI120" s="323">
        <v>0</v>
      </c>
      <c r="CJ120" s="323">
        <v>0</v>
      </c>
      <c r="CK120" s="323">
        <v>0</v>
      </c>
      <c r="CL120" s="323">
        <v>0</v>
      </c>
      <c r="CM120" s="323">
        <v>0</v>
      </c>
      <c r="CN120" s="323">
        <v>0</v>
      </c>
      <c r="CO120" s="323">
        <v>0</v>
      </c>
      <c r="CP120" s="329" t="s">
        <v>934</v>
      </c>
      <c r="CQ120" s="330">
        <v>66</v>
      </c>
      <c r="CR120" s="330">
        <v>92</v>
      </c>
      <c r="CS120" s="330">
        <v>47</v>
      </c>
      <c r="CT120" s="330">
        <v>31</v>
      </c>
      <c r="CU120" s="330">
        <v>21</v>
      </c>
      <c r="CV120" s="330">
        <v>5</v>
      </c>
      <c r="CW120" s="330">
        <v>5</v>
      </c>
      <c r="CX120" s="330">
        <v>1</v>
      </c>
      <c r="CY120" s="328">
        <v>268</v>
      </c>
      <c r="CZ120" s="322" t="s">
        <v>934</v>
      </c>
      <c r="DA120" s="323">
        <v>0</v>
      </c>
      <c r="DB120" s="323">
        <v>0</v>
      </c>
      <c r="DC120" s="323">
        <v>0</v>
      </c>
      <c r="DD120" s="323">
        <v>0</v>
      </c>
      <c r="DE120" s="323">
        <v>0</v>
      </c>
      <c r="DF120" s="323">
        <v>0</v>
      </c>
      <c r="DG120" s="323">
        <v>0</v>
      </c>
      <c r="DH120" s="323">
        <v>0</v>
      </c>
      <c r="DI120" s="323">
        <v>0</v>
      </c>
      <c r="DJ120" s="337">
        <v>13.7</v>
      </c>
      <c r="DK120" s="644">
        <v>16006.9</v>
      </c>
      <c r="DL120" s="614">
        <v>6037</v>
      </c>
      <c r="DM120" s="614">
        <v>9367</v>
      </c>
      <c r="DN120" s="614">
        <v>5048</v>
      </c>
      <c r="DO120" s="614">
        <v>3181</v>
      </c>
      <c r="DP120" s="614">
        <v>1340</v>
      </c>
      <c r="DQ120" s="614">
        <v>608</v>
      </c>
      <c r="DR120" s="614">
        <v>398</v>
      </c>
      <c r="DS120" s="615">
        <v>54</v>
      </c>
      <c r="DT120" s="607">
        <f t="shared" si="1"/>
        <v>26033</v>
      </c>
      <c r="DU120" s="342"/>
      <c r="EC120" s="646"/>
      <c r="EF120" s="126"/>
      <c r="EG120" s="124"/>
    </row>
    <row r="121" spans="1:137" ht="15">
      <c r="A121" s="22">
        <v>113</v>
      </c>
      <c r="B121" s="23" t="s">
        <v>355</v>
      </c>
      <c r="C121" s="24" t="s">
        <v>356</v>
      </c>
      <c r="D121" s="613"/>
      <c r="E121" s="626">
        <v>6142</v>
      </c>
      <c r="F121" s="626">
        <v>8930</v>
      </c>
      <c r="G121" s="626">
        <v>7939</v>
      </c>
      <c r="H121" s="626">
        <v>5246</v>
      </c>
      <c r="I121" s="626">
        <v>3756</v>
      </c>
      <c r="J121" s="626">
        <v>1850</v>
      </c>
      <c r="K121" s="626">
        <v>960</v>
      </c>
      <c r="L121" s="626">
        <v>73</v>
      </c>
      <c r="M121" s="631">
        <v>34896</v>
      </c>
      <c r="N121" s="322"/>
      <c r="O121" s="323">
        <v>314</v>
      </c>
      <c r="P121" s="323">
        <v>176</v>
      </c>
      <c r="Q121" s="323">
        <v>276</v>
      </c>
      <c r="R121" s="323">
        <v>103</v>
      </c>
      <c r="S121" s="323">
        <v>64</v>
      </c>
      <c r="T121" s="323">
        <v>30</v>
      </c>
      <c r="U121" s="323">
        <v>12</v>
      </c>
      <c r="V121" s="323">
        <v>2</v>
      </c>
      <c r="W121" s="323">
        <v>977</v>
      </c>
      <c r="X121" s="329" t="s">
        <v>934</v>
      </c>
      <c r="Y121" s="330">
        <v>3</v>
      </c>
      <c r="Z121" s="330">
        <v>1</v>
      </c>
      <c r="AA121" s="330">
        <v>0</v>
      </c>
      <c r="AB121" s="330">
        <v>1</v>
      </c>
      <c r="AC121" s="330">
        <v>0</v>
      </c>
      <c r="AD121" s="330">
        <v>1</v>
      </c>
      <c r="AE121" s="330">
        <v>0</v>
      </c>
      <c r="AF121" s="330">
        <v>0</v>
      </c>
      <c r="AG121" s="328">
        <v>6</v>
      </c>
      <c r="AH121" s="329" t="s">
        <v>934</v>
      </c>
      <c r="AI121" s="184">
        <v>18</v>
      </c>
      <c r="AJ121" s="184">
        <v>45</v>
      </c>
      <c r="AK121" s="184">
        <v>45</v>
      </c>
      <c r="AL121" s="184">
        <v>55</v>
      </c>
      <c r="AM121" s="184">
        <v>36</v>
      </c>
      <c r="AN121" s="184">
        <v>21</v>
      </c>
      <c r="AO121" s="184">
        <v>20</v>
      </c>
      <c r="AP121" s="184">
        <v>4</v>
      </c>
      <c r="AQ121" s="336">
        <v>244</v>
      </c>
      <c r="AR121" s="323">
        <v>7</v>
      </c>
      <c r="AS121" s="323">
        <v>2975</v>
      </c>
      <c r="AT121" s="323">
        <v>2780</v>
      </c>
      <c r="AU121" s="323">
        <v>2002</v>
      </c>
      <c r="AV121" s="323">
        <v>1083</v>
      </c>
      <c r="AW121" s="323">
        <v>613</v>
      </c>
      <c r="AX121" s="323">
        <v>246</v>
      </c>
      <c r="AY121" s="323">
        <v>103</v>
      </c>
      <c r="AZ121" s="323">
        <v>7</v>
      </c>
      <c r="BA121" s="323">
        <v>9816</v>
      </c>
      <c r="BB121" s="331">
        <v>1</v>
      </c>
      <c r="BC121" s="330">
        <v>23</v>
      </c>
      <c r="BD121" s="330">
        <v>50</v>
      </c>
      <c r="BE121" s="330">
        <v>43</v>
      </c>
      <c r="BF121" s="330">
        <v>37</v>
      </c>
      <c r="BG121" s="330">
        <v>14</v>
      </c>
      <c r="BH121" s="330">
        <v>11</v>
      </c>
      <c r="BI121" s="330">
        <v>2</v>
      </c>
      <c r="BJ121" s="330">
        <v>0</v>
      </c>
      <c r="BK121" s="328">
        <v>181</v>
      </c>
      <c r="BL121" s="323">
        <v>0</v>
      </c>
      <c r="BM121" s="323">
        <v>4</v>
      </c>
      <c r="BN121" s="323">
        <v>9</v>
      </c>
      <c r="BO121" s="323">
        <v>16</v>
      </c>
      <c r="BP121" s="323">
        <v>10</v>
      </c>
      <c r="BQ121" s="323">
        <v>5</v>
      </c>
      <c r="BR121" s="323">
        <v>12</v>
      </c>
      <c r="BS121" s="323">
        <v>9</v>
      </c>
      <c r="BT121" s="323">
        <v>2</v>
      </c>
      <c r="BU121" s="323">
        <v>67</v>
      </c>
      <c r="BV121" s="329" t="s">
        <v>934</v>
      </c>
      <c r="BW121" s="330">
        <v>64</v>
      </c>
      <c r="BX121" s="330">
        <v>82</v>
      </c>
      <c r="BY121" s="330">
        <v>71</v>
      </c>
      <c r="BZ121" s="330">
        <v>56</v>
      </c>
      <c r="CA121" s="330">
        <v>39</v>
      </c>
      <c r="CB121" s="330">
        <v>22</v>
      </c>
      <c r="CC121" s="330">
        <v>9</v>
      </c>
      <c r="CD121" s="330">
        <v>3</v>
      </c>
      <c r="CE121" s="328">
        <v>346</v>
      </c>
      <c r="CF121" s="322" t="s">
        <v>934</v>
      </c>
      <c r="CG121" s="323">
        <v>95</v>
      </c>
      <c r="CH121" s="323">
        <v>73</v>
      </c>
      <c r="CI121" s="323">
        <v>73</v>
      </c>
      <c r="CJ121" s="323">
        <v>52</v>
      </c>
      <c r="CK121" s="323">
        <v>30</v>
      </c>
      <c r="CL121" s="323">
        <v>12</v>
      </c>
      <c r="CM121" s="323">
        <v>10</v>
      </c>
      <c r="CN121" s="323">
        <v>0</v>
      </c>
      <c r="CO121" s="323">
        <v>345</v>
      </c>
      <c r="CP121" s="329" t="s">
        <v>934</v>
      </c>
      <c r="CQ121" s="330">
        <v>0</v>
      </c>
      <c r="CR121" s="330">
        <v>0</v>
      </c>
      <c r="CS121" s="330">
        <v>0</v>
      </c>
      <c r="CT121" s="330">
        <v>0</v>
      </c>
      <c r="CU121" s="330">
        <v>0</v>
      </c>
      <c r="CV121" s="330">
        <v>0</v>
      </c>
      <c r="CW121" s="330">
        <v>0</v>
      </c>
      <c r="CX121" s="330">
        <v>0</v>
      </c>
      <c r="CY121" s="328">
        <v>0</v>
      </c>
      <c r="CZ121" s="322" t="s">
        <v>934</v>
      </c>
      <c r="DA121" s="323">
        <v>0</v>
      </c>
      <c r="DB121" s="323">
        <v>0</v>
      </c>
      <c r="DC121" s="323">
        <v>0</v>
      </c>
      <c r="DD121" s="323">
        <v>0</v>
      </c>
      <c r="DE121" s="323">
        <v>0</v>
      </c>
      <c r="DF121" s="323">
        <v>0</v>
      </c>
      <c r="DG121" s="323">
        <v>0</v>
      </c>
      <c r="DH121" s="323">
        <v>0</v>
      </c>
      <c r="DI121" s="323">
        <v>0</v>
      </c>
      <c r="DJ121" s="337">
        <v>166.9</v>
      </c>
      <c r="DK121" s="644">
        <v>29154.5</v>
      </c>
      <c r="DL121" s="614">
        <v>6219</v>
      </c>
      <c r="DM121" s="614">
        <v>9041</v>
      </c>
      <c r="DN121" s="614">
        <v>7978</v>
      </c>
      <c r="DO121" s="614">
        <v>5274</v>
      </c>
      <c r="DP121" s="614">
        <v>3778</v>
      </c>
      <c r="DQ121" s="614">
        <v>1865</v>
      </c>
      <c r="DR121" s="614">
        <v>964</v>
      </c>
      <c r="DS121" s="615">
        <v>72</v>
      </c>
      <c r="DT121" s="607">
        <f t="shared" si="1"/>
        <v>35191</v>
      </c>
      <c r="DU121" s="342"/>
      <c r="EC121" s="646"/>
      <c r="EF121" s="123"/>
      <c r="EG121" s="124"/>
    </row>
    <row r="122" spans="1:137" ht="15">
      <c r="A122" s="22">
        <v>114</v>
      </c>
      <c r="B122" s="23" t="s">
        <v>357</v>
      </c>
      <c r="C122" s="24" t="s">
        <v>358</v>
      </c>
      <c r="D122" s="613"/>
      <c r="E122" s="628">
        <v>6432</v>
      </c>
      <c r="F122" s="628">
        <v>5857</v>
      </c>
      <c r="G122" s="628">
        <v>8372</v>
      </c>
      <c r="H122" s="628">
        <v>6573</v>
      </c>
      <c r="I122" s="628">
        <v>4331</v>
      </c>
      <c r="J122" s="628">
        <v>2356</v>
      </c>
      <c r="K122" s="628">
        <v>1452</v>
      </c>
      <c r="L122" s="628">
        <v>83</v>
      </c>
      <c r="M122" s="627">
        <v>35456</v>
      </c>
      <c r="N122" s="322"/>
      <c r="O122" s="323">
        <v>404</v>
      </c>
      <c r="P122" s="323">
        <v>377</v>
      </c>
      <c r="Q122" s="323">
        <v>264</v>
      </c>
      <c r="R122" s="323">
        <v>205</v>
      </c>
      <c r="S122" s="323">
        <v>109</v>
      </c>
      <c r="T122" s="323">
        <v>55</v>
      </c>
      <c r="U122" s="323">
        <v>46</v>
      </c>
      <c r="V122" s="323">
        <v>3</v>
      </c>
      <c r="W122" s="323">
        <v>1463</v>
      </c>
      <c r="X122" s="329" t="s">
        <v>934</v>
      </c>
      <c r="Y122" s="330">
        <v>0</v>
      </c>
      <c r="Z122" s="330">
        <v>0</v>
      </c>
      <c r="AA122" s="330">
        <v>0</v>
      </c>
      <c r="AB122" s="330">
        <v>0</v>
      </c>
      <c r="AC122" s="330">
        <v>0</v>
      </c>
      <c r="AD122" s="330">
        <v>0</v>
      </c>
      <c r="AE122" s="330">
        <v>0</v>
      </c>
      <c r="AF122" s="330">
        <v>0</v>
      </c>
      <c r="AG122" s="328">
        <v>0</v>
      </c>
      <c r="AH122" s="329" t="s">
        <v>934</v>
      </c>
      <c r="AI122" s="184">
        <v>28</v>
      </c>
      <c r="AJ122" s="184">
        <v>34</v>
      </c>
      <c r="AK122" s="184">
        <v>71</v>
      </c>
      <c r="AL122" s="184">
        <v>83</v>
      </c>
      <c r="AM122" s="184">
        <v>59</v>
      </c>
      <c r="AN122" s="184">
        <v>43</v>
      </c>
      <c r="AO122" s="184">
        <v>51</v>
      </c>
      <c r="AP122" s="184">
        <v>6</v>
      </c>
      <c r="AQ122" s="336">
        <v>375</v>
      </c>
      <c r="AR122" s="323">
        <v>14</v>
      </c>
      <c r="AS122" s="323">
        <v>3381</v>
      </c>
      <c r="AT122" s="323">
        <v>2380</v>
      </c>
      <c r="AU122" s="323">
        <v>2846</v>
      </c>
      <c r="AV122" s="323">
        <v>1785</v>
      </c>
      <c r="AW122" s="323">
        <v>850</v>
      </c>
      <c r="AX122" s="323">
        <v>385</v>
      </c>
      <c r="AY122" s="323">
        <v>149</v>
      </c>
      <c r="AZ122" s="323">
        <v>2</v>
      </c>
      <c r="BA122" s="323">
        <v>11792</v>
      </c>
      <c r="BB122" s="331">
        <v>0</v>
      </c>
      <c r="BC122" s="330">
        <v>38</v>
      </c>
      <c r="BD122" s="330">
        <v>61</v>
      </c>
      <c r="BE122" s="330">
        <v>75</v>
      </c>
      <c r="BF122" s="330">
        <v>64</v>
      </c>
      <c r="BG122" s="330">
        <v>46</v>
      </c>
      <c r="BH122" s="330">
        <v>26</v>
      </c>
      <c r="BI122" s="330">
        <v>8</v>
      </c>
      <c r="BJ122" s="330">
        <v>0</v>
      </c>
      <c r="BK122" s="328">
        <v>318</v>
      </c>
      <c r="BL122" s="323">
        <v>0</v>
      </c>
      <c r="BM122" s="323">
        <v>1</v>
      </c>
      <c r="BN122" s="323">
        <v>2</v>
      </c>
      <c r="BO122" s="323">
        <v>8</v>
      </c>
      <c r="BP122" s="323">
        <v>6</v>
      </c>
      <c r="BQ122" s="323">
        <v>9</v>
      </c>
      <c r="BR122" s="323">
        <v>23</v>
      </c>
      <c r="BS122" s="323">
        <v>9</v>
      </c>
      <c r="BT122" s="323">
        <v>3</v>
      </c>
      <c r="BU122" s="323">
        <v>61</v>
      </c>
      <c r="BV122" s="329" t="s">
        <v>934</v>
      </c>
      <c r="BW122" s="330">
        <v>120</v>
      </c>
      <c r="BX122" s="330">
        <v>117</v>
      </c>
      <c r="BY122" s="330">
        <v>130</v>
      </c>
      <c r="BZ122" s="330">
        <v>95</v>
      </c>
      <c r="CA122" s="330">
        <v>76</v>
      </c>
      <c r="CB122" s="330">
        <v>64</v>
      </c>
      <c r="CC122" s="330">
        <v>32</v>
      </c>
      <c r="CD122" s="330">
        <v>0</v>
      </c>
      <c r="CE122" s="328">
        <v>634</v>
      </c>
      <c r="CF122" s="322" t="s">
        <v>934</v>
      </c>
      <c r="CG122" s="323">
        <v>242</v>
      </c>
      <c r="CH122" s="323">
        <v>111</v>
      </c>
      <c r="CI122" s="323">
        <v>124</v>
      </c>
      <c r="CJ122" s="323">
        <v>71</v>
      </c>
      <c r="CK122" s="323">
        <v>55</v>
      </c>
      <c r="CL122" s="323">
        <v>28</v>
      </c>
      <c r="CM122" s="323">
        <v>27</v>
      </c>
      <c r="CN122" s="323">
        <v>1</v>
      </c>
      <c r="CO122" s="323">
        <v>659</v>
      </c>
      <c r="CP122" s="329" t="s">
        <v>934</v>
      </c>
      <c r="CQ122" s="330">
        <v>0</v>
      </c>
      <c r="CR122" s="330">
        <v>0</v>
      </c>
      <c r="CS122" s="330">
        <v>0</v>
      </c>
      <c r="CT122" s="330">
        <v>0</v>
      </c>
      <c r="CU122" s="330">
        <v>0</v>
      </c>
      <c r="CV122" s="330">
        <v>0</v>
      </c>
      <c r="CW122" s="330">
        <v>0</v>
      </c>
      <c r="CX122" s="330">
        <v>0</v>
      </c>
      <c r="CY122" s="328">
        <v>0</v>
      </c>
      <c r="CZ122" s="322" t="s">
        <v>934</v>
      </c>
      <c r="DA122" s="323">
        <v>0</v>
      </c>
      <c r="DB122" s="323">
        <v>0</v>
      </c>
      <c r="DC122" s="323">
        <v>0</v>
      </c>
      <c r="DD122" s="323">
        <v>0</v>
      </c>
      <c r="DE122" s="323">
        <v>0</v>
      </c>
      <c r="DF122" s="323">
        <v>0</v>
      </c>
      <c r="DG122" s="323">
        <v>0</v>
      </c>
      <c r="DH122" s="323">
        <v>0</v>
      </c>
      <c r="DI122" s="323">
        <v>0</v>
      </c>
      <c r="DJ122" s="337">
        <v>186.2</v>
      </c>
      <c r="DK122" s="644">
        <v>29682.1</v>
      </c>
      <c r="DL122" s="614">
        <v>6459</v>
      </c>
      <c r="DM122" s="614">
        <v>5858</v>
      </c>
      <c r="DN122" s="614">
        <v>8433</v>
      </c>
      <c r="DO122" s="614">
        <v>6640</v>
      </c>
      <c r="DP122" s="614">
        <v>4356</v>
      </c>
      <c r="DQ122" s="614">
        <v>2357</v>
      </c>
      <c r="DR122" s="614">
        <v>1465</v>
      </c>
      <c r="DS122" s="615">
        <v>86</v>
      </c>
      <c r="DT122" s="607">
        <f t="shared" si="1"/>
        <v>35654</v>
      </c>
      <c r="DU122" s="342"/>
      <c r="EC122" s="646"/>
      <c r="EF122" s="123"/>
      <c r="EG122" s="124"/>
    </row>
    <row r="123" spans="1:137" ht="15">
      <c r="A123" s="22">
        <v>115</v>
      </c>
      <c r="B123" s="23" t="s">
        <v>359</v>
      </c>
      <c r="C123" s="24" t="s">
        <v>360</v>
      </c>
      <c r="D123" s="613"/>
      <c r="E123" s="629">
        <v>58120</v>
      </c>
      <c r="F123" s="629">
        <v>10766</v>
      </c>
      <c r="G123" s="629">
        <v>13892</v>
      </c>
      <c r="H123" s="629">
        <v>5179</v>
      </c>
      <c r="I123" s="629">
        <v>2047</v>
      </c>
      <c r="J123" s="629">
        <v>740</v>
      </c>
      <c r="K123" s="629">
        <v>355</v>
      </c>
      <c r="L123" s="629">
        <v>44</v>
      </c>
      <c r="M123" s="627">
        <v>91143</v>
      </c>
      <c r="N123" s="322"/>
      <c r="O123" s="323">
        <v>3090</v>
      </c>
      <c r="P123" s="323">
        <v>227</v>
      </c>
      <c r="Q123" s="323">
        <v>224</v>
      </c>
      <c r="R123" s="323">
        <v>68</v>
      </c>
      <c r="S123" s="323">
        <v>24</v>
      </c>
      <c r="T123" s="323">
        <v>12</v>
      </c>
      <c r="U123" s="323">
        <v>6</v>
      </c>
      <c r="V123" s="323">
        <v>3</v>
      </c>
      <c r="W123" s="323">
        <v>3654</v>
      </c>
      <c r="X123" s="329" t="s">
        <v>934</v>
      </c>
      <c r="Y123" s="330">
        <v>0</v>
      </c>
      <c r="Z123" s="330">
        <v>0</v>
      </c>
      <c r="AA123" s="330">
        <v>0</v>
      </c>
      <c r="AB123" s="330">
        <v>0</v>
      </c>
      <c r="AC123" s="330">
        <v>0</v>
      </c>
      <c r="AD123" s="330">
        <v>0</v>
      </c>
      <c r="AE123" s="330">
        <v>0</v>
      </c>
      <c r="AF123" s="330">
        <v>0</v>
      </c>
      <c r="AG123" s="328">
        <v>0</v>
      </c>
      <c r="AH123" s="329" t="s">
        <v>934</v>
      </c>
      <c r="AI123" s="184">
        <v>156</v>
      </c>
      <c r="AJ123" s="184">
        <v>105</v>
      </c>
      <c r="AK123" s="184">
        <v>125</v>
      </c>
      <c r="AL123" s="184">
        <v>61</v>
      </c>
      <c r="AM123" s="184">
        <v>39</v>
      </c>
      <c r="AN123" s="184">
        <v>18</v>
      </c>
      <c r="AO123" s="184">
        <v>14</v>
      </c>
      <c r="AP123" s="184">
        <v>22</v>
      </c>
      <c r="AQ123" s="336">
        <v>540</v>
      </c>
      <c r="AR123" s="323">
        <v>65</v>
      </c>
      <c r="AS123" s="323">
        <v>27808</v>
      </c>
      <c r="AT123" s="323">
        <v>3217</v>
      </c>
      <c r="AU123" s="323">
        <v>3143</v>
      </c>
      <c r="AV123" s="323">
        <v>864</v>
      </c>
      <c r="AW123" s="323">
        <v>280</v>
      </c>
      <c r="AX123" s="323">
        <v>108</v>
      </c>
      <c r="AY123" s="323">
        <v>38</v>
      </c>
      <c r="AZ123" s="323">
        <v>1</v>
      </c>
      <c r="BA123" s="323">
        <v>35524</v>
      </c>
      <c r="BB123" s="331">
        <v>2</v>
      </c>
      <c r="BC123" s="330">
        <v>463</v>
      </c>
      <c r="BD123" s="330">
        <v>119</v>
      </c>
      <c r="BE123" s="330">
        <v>169</v>
      </c>
      <c r="BF123" s="330">
        <v>39</v>
      </c>
      <c r="BG123" s="330">
        <v>18</v>
      </c>
      <c r="BH123" s="330">
        <v>4</v>
      </c>
      <c r="BI123" s="330">
        <v>1</v>
      </c>
      <c r="BJ123" s="330">
        <v>0</v>
      </c>
      <c r="BK123" s="328">
        <v>815</v>
      </c>
      <c r="BL123" s="323">
        <v>5</v>
      </c>
      <c r="BM123" s="323">
        <v>41</v>
      </c>
      <c r="BN123" s="323">
        <v>20</v>
      </c>
      <c r="BO123" s="323">
        <v>23</v>
      </c>
      <c r="BP123" s="323">
        <v>35</v>
      </c>
      <c r="BQ123" s="323">
        <v>10</v>
      </c>
      <c r="BR123" s="323">
        <v>9</v>
      </c>
      <c r="BS123" s="323">
        <v>29</v>
      </c>
      <c r="BT123" s="323">
        <v>10</v>
      </c>
      <c r="BU123" s="323">
        <v>182</v>
      </c>
      <c r="BV123" s="329" t="s">
        <v>934</v>
      </c>
      <c r="BW123" s="330">
        <v>0</v>
      </c>
      <c r="BX123" s="330">
        <v>0</v>
      </c>
      <c r="BY123" s="330">
        <v>0</v>
      </c>
      <c r="BZ123" s="330">
        <v>0</v>
      </c>
      <c r="CA123" s="330">
        <v>0</v>
      </c>
      <c r="CB123" s="330">
        <v>0</v>
      </c>
      <c r="CC123" s="330">
        <v>0</v>
      </c>
      <c r="CD123" s="330">
        <v>0</v>
      </c>
      <c r="CE123" s="328">
        <v>0</v>
      </c>
      <c r="CF123" s="322" t="s">
        <v>934</v>
      </c>
      <c r="CG123" s="323">
        <v>1476</v>
      </c>
      <c r="CH123" s="323">
        <v>191</v>
      </c>
      <c r="CI123" s="323">
        <v>178</v>
      </c>
      <c r="CJ123" s="323">
        <v>110</v>
      </c>
      <c r="CK123" s="323">
        <v>28</v>
      </c>
      <c r="CL123" s="323">
        <v>9</v>
      </c>
      <c r="CM123" s="323">
        <v>13</v>
      </c>
      <c r="CN123" s="323">
        <v>3</v>
      </c>
      <c r="CO123" s="323">
        <v>2008</v>
      </c>
      <c r="CP123" s="329" t="s">
        <v>934</v>
      </c>
      <c r="CQ123" s="330">
        <v>0</v>
      </c>
      <c r="CR123" s="330">
        <v>0</v>
      </c>
      <c r="CS123" s="330">
        <v>0</v>
      </c>
      <c r="CT123" s="330">
        <v>0</v>
      </c>
      <c r="CU123" s="330">
        <v>0</v>
      </c>
      <c r="CV123" s="330">
        <v>0</v>
      </c>
      <c r="CW123" s="330">
        <v>0</v>
      </c>
      <c r="CX123" s="330">
        <v>0</v>
      </c>
      <c r="CY123" s="328">
        <v>0</v>
      </c>
      <c r="CZ123" s="322" t="s">
        <v>934</v>
      </c>
      <c r="DA123" s="323">
        <v>0</v>
      </c>
      <c r="DB123" s="323">
        <v>0</v>
      </c>
      <c r="DC123" s="323">
        <v>0</v>
      </c>
      <c r="DD123" s="323">
        <v>0</v>
      </c>
      <c r="DE123" s="323">
        <v>0</v>
      </c>
      <c r="DF123" s="323">
        <v>0</v>
      </c>
      <c r="DG123" s="323">
        <v>0</v>
      </c>
      <c r="DH123" s="323">
        <v>0</v>
      </c>
      <c r="DI123" s="323">
        <v>0</v>
      </c>
      <c r="DJ123" s="337">
        <v>0</v>
      </c>
      <c r="DK123" s="644">
        <v>58944.1</v>
      </c>
      <c r="DL123" s="616">
        <v>58010</v>
      </c>
      <c r="DM123" s="616">
        <v>11000</v>
      </c>
      <c r="DN123" s="616">
        <v>14005</v>
      </c>
      <c r="DO123" s="616">
        <v>5195</v>
      </c>
      <c r="DP123" s="616">
        <v>2077</v>
      </c>
      <c r="DQ123" s="616">
        <v>749</v>
      </c>
      <c r="DR123" s="616">
        <v>351</v>
      </c>
      <c r="DS123" s="617">
        <v>46</v>
      </c>
      <c r="DT123" s="607">
        <f t="shared" si="1"/>
        <v>91433</v>
      </c>
      <c r="DU123" s="342"/>
      <c r="EC123" s="646"/>
      <c r="EF123" s="125"/>
      <c r="EG123" s="124"/>
    </row>
    <row r="124" spans="1:137" ht="15">
      <c r="A124" s="22">
        <v>116</v>
      </c>
      <c r="B124" s="23" t="s">
        <v>361</v>
      </c>
      <c r="C124" s="24" t="s">
        <v>362</v>
      </c>
      <c r="D124" s="613"/>
      <c r="E124" s="630">
        <v>14161</v>
      </c>
      <c r="F124" s="630">
        <v>14058</v>
      </c>
      <c r="G124" s="630">
        <v>9390</v>
      </c>
      <c r="H124" s="630">
        <v>6238</v>
      </c>
      <c r="I124" s="630">
        <v>3420</v>
      </c>
      <c r="J124" s="630">
        <v>1215</v>
      </c>
      <c r="K124" s="630">
        <v>769</v>
      </c>
      <c r="L124" s="630">
        <v>76</v>
      </c>
      <c r="M124" s="627">
        <v>49327</v>
      </c>
      <c r="N124" s="322"/>
      <c r="O124" s="323">
        <v>501</v>
      </c>
      <c r="P124" s="323">
        <v>307</v>
      </c>
      <c r="Q124" s="323">
        <v>159</v>
      </c>
      <c r="R124" s="323">
        <v>97</v>
      </c>
      <c r="S124" s="323">
        <v>36</v>
      </c>
      <c r="T124" s="323">
        <v>19</v>
      </c>
      <c r="U124" s="323">
        <v>9</v>
      </c>
      <c r="V124" s="323">
        <v>0</v>
      </c>
      <c r="W124" s="323">
        <v>1128</v>
      </c>
      <c r="X124" s="329" t="s">
        <v>934</v>
      </c>
      <c r="Y124" s="330">
        <v>0</v>
      </c>
      <c r="Z124" s="330">
        <v>0</v>
      </c>
      <c r="AA124" s="330">
        <v>0</v>
      </c>
      <c r="AB124" s="330">
        <v>0</v>
      </c>
      <c r="AC124" s="330">
        <v>0</v>
      </c>
      <c r="AD124" s="330">
        <v>0</v>
      </c>
      <c r="AE124" s="330">
        <v>0</v>
      </c>
      <c r="AF124" s="330">
        <v>0</v>
      </c>
      <c r="AG124" s="328">
        <v>0</v>
      </c>
      <c r="AH124" s="329" t="s">
        <v>934</v>
      </c>
      <c r="AI124" s="184">
        <v>18</v>
      </c>
      <c r="AJ124" s="184">
        <v>43</v>
      </c>
      <c r="AK124" s="184">
        <v>50</v>
      </c>
      <c r="AL124" s="184">
        <v>48</v>
      </c>
      <c r="AM124" s="184">
        <v>33</v>
      </c>
      <c r="AN124" s="184">
        <v>14</v>
      </c>
      <c r="AO124" s="184">
        <v>22</v>
      </c>
      <c r="AP124" s="184">
        <v>12</v>
      </c>
      <c r="AQ124" s="336">
        <v>240</v>
      </c>
      <c r="AR124" s="323">
        <v>6</v>
      </c>
      <c r="AS124" s="323">
        <v>6956</v>
      </c>
      <c r="AT124" s="323">
        <v>5073</v>
      </c>
      <c r="AU124" s="323">
        <v>2604</v>
      </c>
      <c r="AV124" s="323">
        <v>1280</v>
      </c>
      <c r="AW124" s="323">
        <v>559</v>
      </c>
      <c r="AX124" s="323">
        <v>199</v>
      </c>
      <c r="AY124" s="323">
        <v>96</v>
      </c>
      <c r="AZ124" s="323">
        <v>9</v>
      </c>
      <c r="BA124" s="323">
        <v>16782</v>
      </c>
      <c r="BB124" s="331">
        <v>0</v>
      </c>
      <c r="BC124" s="330">
        <v>102</v>
      </c>
      <c r="BD124" s="330">
        <v>96</v>
      </c>
      <c r="BE124" s="330">
        <v>70</v>
      </c>
      <c r="BF124" s="330">
        <v>30</v>
      </c>
      <c r="BG124" s="330">
        <v>21</v>
      </c>
      <c r="BH124" s="330">
        <v>5</v>
      </c>
      <c r="BI124" s="330">
        <v>2</v>
      </c>
      <c r="BJ124" s="330">
        <v>0</v>
      </c>
      <c r="BK124" s="328">
        <v>326</v>
      </c>
      <c r="BL124" s="323">
        <v>0</v>
      </c>
      <c r="BM124" s="323">
        <v>18</v>
      </c>
      <c r="BN124" s="323">
        <v>9</v>
      </c>
      <c r="BO124" s="323">
        <v>14</v>
      </c>
      <c r="BP124" s="323">
        <v>9</v>
      </c>
      <c r="BQ124" s="323">
        <v>3</v>
      </c>
      <c r="BR124" s="323">
        <v>17</v>
      </c>
      <c r="BS124" s="323">
        <v>11</v>
      </c>
      <c r="BT124" s="323">
        <v>0</v>
      </c>
      <c r="BU124" s="323">
        <v>81</v>
      </c>
      <c r="BV124" s="329" t="s">
        <v>934</v>
      </c>
      <c r="BW124" s="330">
        <v>43</v>
      </c>
      <c r="BX124" s="330">
        <v>29</v>
      </c>
      <c r="BY124" s="330">
        <v>24</v>
      </c>
      <c r="BZ124" s="330">
        <v>12</v>
      </c>
      <c r="CA124" s="330">
        <v>9</v>
      </c>
      <c r="CB124" s="330">
        <v>4</v>
      </c>
      <c r="CC124" s="330">
        <v>1</v>
      </c>
      <c r="CD124" s="330">
        <v>1</v>
      </c>
      <c r="CE124" s="328">
        <v>123</v>
      </c>
      <c r="CF124" s="322" t="s">
        <v>934</v>
      </c>
      <c r="CG124" s="323">
        <v>353</v>
      </c>
      <c r="CH124" s="323">
        <v>154</v>
      </c>
      <c r="CI124" s="323">
        <v>125</v>
      </c>
      <c r="CJ124" s="323">
        <v>62</v>
      </c>
      <c r="CK124" s="323">
        <v>38</v>
      </c>
      <c r="CL124" s="323">
        <v>16</v>
      </c>
      <c r="CM124" s="323">
        <v>16</v>
      </c>
      <c r="CN124" s="323">
        <v>1</v>
      </c>
      <c r="CO124" s="323">
        <v>765</v>
      </c>
      <c r="CP124" s="329" t="s">
        <v>934</v>
      </c>
      <c r="CQ124" s="330">
        <v>0</v>
      </c>
      <c r="CR124" s="330">
        <v>0</v>
      </c>
      <c r="CS124" s="330">
        <v>0</v>
      </c>
      <c r="CT124" s="330">
        <v>0</v>
      </c>
      <c r="CU124" s="330">
        <v>0</v>
      </c>
      <c r="CV124" s="330">
        <v>0</v>
      </c>
      <c r="CW124" s="330">
        <v>0</v>
      </c>
      <c r="CX124" s="330">
        <v>0</v>
      </c>
      <c r="CY124" s="328">
        <v>0</v>
      </c>
      <c r="CZ124" s="322" t="s">
        <v>934</v>
      </c>
      <c r="DA124" s="323">
        <v>0</v>
      </c>
      <c r="DB124" s="323">
        <v>0</v>
      </c>
      <c r="DC124" s="323">
        <v>0</v>
      </c>
      <c r="DD124" s="323">
        <v>0</v>
      </c>
      <c r="DE124" s="323">
        <v>0</v>
      </c>
      <c r="DF124" s="323">
        <v>0</v>
      </c>
      <c r="DG124" s="323">
        <v>0</v>
      </c>
      <c r="DH124" s="323">
        <v>0</v>
      </c>
      <c r="DI124" s="323">
        <v>0</v>
      </c>
      <c r="DJ124" s="337">
        <v>0</v>
      </c>
      <c r="DK124" s="644">
        <v>37584</v>
      </c>
      <c r="DL124" s="614">
        <v>14240</v>
      </c>
      <c r="DM124" s="614">
        <v>14140</v>
      </c>
      <c r="DN124" s="614">
        <v>9597</v>
      </c>
      <c r="DO124" s="614">
        <v>6186</v>
      </c>
      <c r="DP124" s="614">
        <v>3428</v>
      </c>
      <c r="DQ124" s="614">
        <v>1233</v>
      </c>
      <c r="DR124" s="614">
        <v>767</v>
      </c>
      <c r="DS124" s="615">
        <v>78</v>
      </c>
      <c r="DT124" s="607">
        <f t="shared" si="1"/>
        <v>49669</v>
      </c>
      <c r="DU124" s="342"/>
      <c r="EC124" s="646"/>
      <c r="EF124" s="127"/>
      <c r="EG124" s="124"/>
    </row>
    <row r="125" spans="1:137" ht="15">
      <c r="A125" s="22">
        <v>117</v>
      </c>
      <c r="B125" s="23" t="s">
        <v>363</v>
      </c>
      <c r="C125" s="24" t="s">
        <v>364</v>
      </c>
      <c r="D125" s="613"/>
      <c r="E125" s="626">
        <v>15208</v>
      </c>
      <c r="F125" s="626">
        <v>13578</v>
      </c>
      <c r="G125" s="626">
        <v>11712</v>
      </c>
      <c r="H125" s="626">
        <v>5094</v>
      </c>
      <c r="I125" s="626">
        <v>3199</v>
      </c>
      <c r="J125" s="626">
        <v>804</v>
      </c>
      <c r="K125" s="626">
        <v>190</v>
      </c>
      <c r="L125" s="626">
        <v>6</v>
      </c>
      <c r="M125" s="631">
        <v>49791</v>
      </c>
      <c r="N125" s="322"/>
      <c r="O125" s="323">
        <v>746</v>
      </c>
      <c r="P125" s="323">
        <v>444</v>
      </c>
      <c r="Q125" s="323">
        <v>268</v>
      </c>
      <c r="R125" s="323">
        <v>108</v>
      </c>
      <c r="S125" s="323">
        <v>39</v>
      </c>
      <c r="T125" s="323">
        <v>10</v>
      </c>
      <c r="U125" s="323">
        <v>4</v>
      </c>
      <c r="V125" s="323">
        <v>0</v>
      </c>
      <c r="W125" s="323">
        <v>1619</v>
      </c>
      <c r="X125" s="329" t="s">
        <v>934</v>
      </c>
      <c r="Y125" s="330">
        <v>0</v>
      </c>
      <c r="Z125" s="330">
        <v>0</v>
      </c>
      <c r="AA125" s="330">
        <v>0</v>
      </c>
      <c r="AB125" s="330">
        <v>1</v>
      </c>
      <c r="AC125" s="330">
        <v>0</v>
      </c>
      <c r="AD125" s="330">
        <v>0</v>
      </c>
      <c r="AE125" s="330">
        <v>0</v>
      </c>
      <c r="AF125" s="330">
        <v>0</v>
      </c>
      <c r="AG125" s="328">
        <v>1</v>
      </c>
      <c r="AH125" s="329" t="s">
        <v>934</v>
      </c>
      <c r="AI125" s="184">
        <v>67</v>
      </c>
      <c r="AJ125" s="184">
        <v>97</v>
      </c>
      <c r="AK125" s="184">
        <v>118</v>
      </c>
      <c r="AL125" s="184">
        <v>77</v>
      </c>
      <c r="AM125" s="184">
        <v>45</v>
      </c>
      <c r="AN125" s="184">
        <v>19</v>
      </c>
      <c r="AO125" s="184">
        <v>19</v>
      </c>
      <c r="AP125" s="184">
        <v>3</v>
      </c>
      <c r="AQ125" s="336">
        <v>445</v>
      </c>
      <c r="AR125" s="323">
        <v>15</v>
      </c>
      <c r="AS125" s="323">
        <v>7742</v>
      </c>
      <c r="AT125" s="323">
        <v>4832</v>
      </c>
      <c r="AU125" s="323">
        <v>3221</v>
      </c>
      <c r="AV125" s="323">
        <v>935</v>
      </c>
      <c r="AW125" s="323">
        <v>402</v>
      </c>
      <c r="AX125" s="323">
        <v>101</v>
      </c>
      <c r="AY125" s="323">
        <v>11</v>
      </c>
      <c r="AZ125" s="323">
        <v>0</v>
      </c>
      <c r="BA125" s="323">
        <v>17259</v>
      </c>
      <c r="BB125" s="331">
        <v>2</v>
      </c>
      <c r="BC125" s="330">
        <v>104</v>
      </c>
      <c r="BD125" s="330">
        <v>119</v>
      </c>
      <c r="BE125" s="330">
        <v>76</v>
      </c>
      <c r="BF125" s="330">
        <v>32</v>
      </c>
      <c r="BG125" s="330">
        <v>22</v>
      </c>
      <c r="BH125" s="330">
        <v>4</v>
      </c>
      <c r="BI125" s="330">
        <v>1</v>
      </c>
      <c r="BJ125" s="330">
        <v>0</v>
      </c>
      <c r="BK125" s="328">
        <v>360</v>
      </c>
      <c r="BL125" s="323">
        <v>3</v>
      </c>
      <c r="BM125" s="323">
        <v>28</v>
      </c>
      <c r="BN125" s="323">
        <v>28</v>
      </c>
      <c r="BO125" s="323">
        <v>20</v>
      </c>
      <c r="BP125" s="323">
        <v>22</v>
      </c>
      <c r="BQ125" s="323">
        <v>19</v>
      </c>
      <c r="BR125" s="323">
        <v>25</v>
      </c>
      <c r="BS125" s="323">
        <v>17</v>
      </c>
      <c r="BT125" s="323">
        <v>2</v>
      </c>
      <c r="BU125" s="323">
        <v>164</v>
      </c>
      <c r="BV125" s="329" t="s">
        <v>934</v>
      </c>
      <c r="BW125" s="330">
        <v>48</v>
      </c>
      <c r="BX125" s="330">
        <v>46</v>
      </c>
      <c r="BY125" s="330">
        <v>20</v>
      </c>
      <c r="BZ125" s="330">
        <v>6</v>
      </c>
      <c r="CA125" s="330">
        <v>8</v>
      </c>
      <c r="CB125" s="330">
        <v>0</v>
      </c>
      <c r="CC125" s="330">
        <v>0</v>
      </c>
      <c r="CD125" s="330">
        <v>0</v>
      </c>
      <c r="CE125" s="328">
        <v>128</v>
      </c>
      <c r="CF125" s="322" t="s">
        <v>934</v>
      </c>
      <c r="CG125" s="323">
        <v>0</v>
      </c>
      <c r="CH125" s="323">
        <v>0</v>
      </c>
      <c r="CI125" s="323">
        <v>0</v>
      </c>
      <c r="CJ125" s="323">
        <v>0</v>
      </c>
      <c r="CK125" s="323">
        <v>0</v>
      </c>
      <c r="CL125" s="323">
        <v>0</v>
      </c>
      <c r="CM125" s="323">
        <v>0</v>
      </c>
      <c r="CN125" s="323">
        <v>0</v>
      </c>
      <c r="CO125" s="323">
        <v>0</v>
      </c>
      <c r="CP125" s="329" t="s">
        <v>934</v>
      </c>
      <c r="CQ125" s="330">
        <v>283</v>
      </c>
      <c r="CR125" s="330">
        <v>119</v>
      </c>
      <c r="CS125" s="330">
        <v>57</v>
      </c>
      <c r="CT125" s="330">
        <v>33</v>
      </c>
      <c r="CU125" s="330">
        <v>6</v>
      </c>
      <c r="CV125" s="330">
        <v>11</v>
      </c>
      <c r="CW125" s="330">
        <v>2</v>
      </c>
      <c r="CX125" s="330">
        <v>0</v>
      </c>
      <c r="CY125" s="328">
        <v>511</v>
      </c>
      <c r="CZ125" s="322" t="s">
        <v>934</v>
      </c>
      <c r="DA125" s="323">
        <v>0</v>
      </c>
      <c r="DB125" s="323">
        <v>0</v>
      </c>
      <c r="DC125" s="323">
        <v>0</v>
      </c>
      <c r="DD125" s="323">
        <v>0</v>
      </c>
      <c r="DE125" s="323">
        <v>0</v>
      </c>
      <c r="DF125" s="323">
        <v>0</v>
      </c>
      <c r="DG125" s="323">
        <v>0</v>
      </c>
      <c r="DH125" s="323">
        <v>0</v>
      </c>
      <c r="DI125" s="323">
        <v>0</v>
      </c>
      <c r="DJ125" s="337">
        <v>7.7</v>
      </c>
      <c r="DK125" s="644">
        <v>36736.6</v>
      </c>
      <c r="DL125" s="614">
        <v>15432</v>
      </c>
      <c r="DM125" s="614">
        <v>13939</v>
      </c>
      <c r="DN125" s="614">
        <v>12012</v>
      </c>
      <c r="DO125" s="614">
        <v>5218</v>
      </c>
      <c r="DP125" s="614">
        <v>3265</v>
      </c>
      <c r="DQ125" s="614">
        <v>821</v>
      </c>
      <c r="DR125" s="614">
        <v>184</v>
      </c>
      <c r="DS125" s="615">
        <v>6</v>
      </c>
      <c r="DT125" s="607">
        <f t="shared" si="1"/>
        <v>50877</v>
      </c>
      <c r="DU125" s="342"/>
      <c r="EC125" s="646"/>
      <c r="EF125" s="123"/>
      <c r="EG125" s="124"/>
    </row>
    <row r="126" spans="1:137" ht="15">
      <c r="A126" s="22">
        <v>118</v>
      </c>
      <c r="B126" s="23" t="s">
        <v>365</v>
      </c>
      <c r="C126" s="24" t="s">
        <v>366</v>
      </c>
      <c r="D126" s="613"/>
      <c r="E126" s="628">
        <v>6202</v>
      </c>
      <c r="F126" s="628">
        <v>12529</v>
      </c>
      <c r="G126" s="628">
        <v>8458</v>
      </c>
      <c r="H126" s="628">
        <v>4554</v>
      </c>
      <c r="I126" s="628">
        <v>1839</v>
      </c>
      <c r="J126" s="628">
        <v>1381</v>
      </c>
      <c r="K126" s="628">
        <v>337</v>
      </c>
      <c r="L126" s="628">
        <v>30</v>
      </c>
      <c r="M126" s="627">
        <v>35330</v>
      </c>
      <c r="N126" s="322"/>
      <c r="O126" s="323">
        <v>549</v>
      </c>
      <c r="P126" s="323">
        <v>732</v>
      </c>
      <c r="Q126" s="323">
        <v>207</v>
      </c>
      <c r="R126" s="323">
        <v>130</v>
      </c>
      <c r="S126" s="323">
        <v>76</v>
      </c>
      <c r="T126" s="323">
        <v>91</v>
      </c>
      <c r="U126" s="323">
        <v>10</v>
      </c>
      <c r="V126" s="323">
        <v>15</v>
      </c>
      <c r="W126" s="323">
        <v>1810</v>
      </c>
      <c r="X126" s="329" t="s">
        <v>934</v>
      </c>
      <c r="Y126" s="330">
        <v>0</v>
      </c>
      <c r="Z126" s="330">
        <v>0</v>
      </c>
      <c r="AA126" s="330">
        <v>0</v>
      </c>
      <c r="AB126" s="330">
        <v>0</v>
      </c>
      <c r="AC126" s="330">
        <v>0</v>
      </c>
      <c r="AD126" s="330">
        <v>0</v>
      </c>
      <c r="AE126" s="330">
        <v>0</v>
      </c>
      <c r="AF126" s="330">
        <v>0</v>
      </c>
      <c r="AG126" s="328">
        <v>0</v>
      </c>
      <c r="AH126" s="329" t="s">
        <v>934</v>
      </c>
      <c r="AI126" s="184">
        <v>8</v>
      </c>
      <c r="AJ126" s="184">
        <v>45</v>
      </c>
      <c r="AK126" s="184">
        <v>40</v>
      </c>
      <c r="AL126" s="184">
        <v>32</v>
      </c>
      <c r="AM126" s="184">
        <v>10</v>
      </c>
      <c r="AN126" s="184">
        <v>13</v>
      </c>
      <c r="AO126" s="184">
        <v>11</v>
      </c>
      <c r="AP126" s="184">
        <v>7</v>
      </c>
      <c r="AQ126" s="336">
        <v>166</v>
      </c>
      <c r="AR126" s="323">
        <v>1</v>
      </c>
      <c r="AS126" s="323">
        <v>3155</v>
      </c>
      <c r="AT126" s="323">
        <v>4179</v>
      </c>
      <c r="AU126" s="323">
        <v>2464</v>
      </c>
      <c r="AV126" s="323">
        <v>1154</v>
      </c>
      <c r="AW126" s="323">
        <v>362</v>
      </c>
      <c r="AX126" s="323">
        <v>190</v>
      </c>
      <c r="AY126" s="323">
        <v>32</v>
      </c>
      <c r="AZ126" s="323">
        <v>0</v>
      </c>
      <c r="BA126" s="323">
        <v>11537</v>
      </c>
      <c r="BB126" s="331">
        <v>0</v>
      </c>
      <c r="BC126" s="330">
        <v>31</v>
      </c>
      <c r="BD126" s="330">
        <v>94</v>
      </c>
      <c r="BE126" s="330">
        <v>58</v>
      </c>
      <c r="BF126" s="330">
        <v>38</v>
      </c>
      <c r="BG126" s="330">
        <v>12</v>
      </c>
      <c r="BH126" s="330">
        <v>5</v>
      </c>
      <c r="BI126" s="330">
        <v>2</v>
      </c>
      <c r="BJ126" s="330">
        <v>1</v>
      </c>
      <c r="BK126" s="328">
        <v>241</v>
      </c>
      <c r="BL126" s="323">
        <v>0</v>
      </c>
      <c r="BM126" s="323">
        <v>1</v>
      </c>
      <c r="BN126" s="323">
        <v>5</v>
      </c>
      <c r="BO126" s="323">
        <v>2</v>
      </c>
      <c r="BP126" s="323">
        <v>4</v>
      </c>
      <c r="BQ126" s="323">
        <v>5</v>
      </c>
      <c r="BR126" s="323">
        <v>7</v>
      </c>
      <c r="BS126" s="323">
        <v>10</v>
      </c>
      <c r="BT126" s="323">
        <v>3</v>
      </c>
      <c r="BU126" s="323">
        <v>37</v>
      </c>
      <c r="BV126" s="329" t="s">
        <v>934</v>
      </c>
      <c r="BW126" s="330">
        <v>14</v>
      </c>
      <c r="BX126" s="330">
        <v>54</v>
      </c>
      <c r="BY126" s="330">
        <v>33</v>
      </c>
      <c r="BZ126" s="330">
        <v>81</v>
      </c>
      <c r="CA126" s="330">
        <v>25</v>
      </c>
      <c r="CB126" s="330">
        <v>6</v>
      </c>
      <c r="CC126" s="330">
        <v>1</v>
      </c>
      <c r="CD126" s="330">
        <v>0</v>
      </c>
      <c r="CE126" s="328">
        <v>214</v>
      </c>
      <c r="CF126" s="322" t="s">
        <v>934</v>
      </c>
      <c r="CG126" s="323">
        <v>128</v>
      </c>
      <c r="CH126" s="323">
        <v>107</v>
      </c>
      <c r="CI126" s="323">
        <v>53</v>
      </c>
      <c r="CJ126" s="323">
        <v>98</v>
      </c>
      <c r="CK126" s="323">
        <v>28</v>
      </c>
      <c r="CL126" s="323">
        <v>13</v>
      </c>
      <c r="CM126" s="323">
        <v>4</v>
      </c>
      <c r="CN126" s="323">
        <v>2</v>
      </c>
      <c r="CO126" s="323">
        <v>433</v>
      </c>
      <c r="CP126" s="329" t="s">
        <v>934</v>
      </c>
      <c r="CQ126" s="330">
        <v>0</v>
      </c>
      <c r="CR126" s="330">
        <v>0</v>
      </c>
      <c r="CS126" s="330">
        <v>0</v>
      </c>
      <c r="CT126" s="330">
        <v>0</v>
      </c>
      <c r="CU126" s="330">
        <v>0</v>
      </c>
      <c r="CV126" s="330">
        <v>0</v>
      </c>
      <c r="CW126" s="330">
        <v>0</v>
      </c>
      <c r="CX126" s="330">
        <v>0</v>
      </c>
      <c r="CY126" s="328">
        <v>0</v>
      </c>
      <c r="CZ126" s="322" t="s">
        <v>934</v>
      </c>
      <c r="DA126" s="323">
        <v>0</v>
      </c>
      <c r="DB126" s="323">
        <v>0</v>
      </c>
      <c r="DC126" s="323">
        <v>0</v>
      </c>
      <c r="DD126" s="323">
        <v>0</v>
      </c>
      <c r="DE126" s="323">
        <v>0</v>
      </c>
      <c r="DF126" s="323">
        <v>0</v>
      </c>
      <c r="DG126" s="323">
        <v>0</v>
      </c>
      <c r="DH126" s="323">
        <v>0</v>
      </c>
      <c r="DI126" s="323">
        <v>0</v>
      </c>
      <c r="DJ126" s="337">
        <v>595.9</v>
      </c>
      <c r="DK126" s="644">
        <v>27133.3</v>
      </c>
      <c r="DL126" s="614">
        <v>6258</v>
      </c>
      <c r="DM126" s="614">
        <v>12568</v>
      </c>
      <c r="DN126" s="614">
        <v>8503</v>
      </c>
      <c r="DO126" s="614">
        <v>4719</v>
      </c>
      <c r="DP126" s="614">
        <v>1865</v>
      </c>
      <c r="DQ126" s="614">
        <v>1517</v>
      </c>
      <c r="DR126" s="614">
        <v>340</v>
      </c>
      <c r="DS126" s="615">
        <v>30</v>
      </c>
      <c r="DT126" s="607">
        <f t="shared" si="1"/>
        <v>35800</v>
      </c>
      <c r="DU126" s="342"/>
      <c r="EC126" s="646"/>
      <c r="EF126" s="123"/>
      <c r="EG126" s="124"/>
    </row>
    <row r="127" spans="1:137" ht="15">
      <c r="A127" s="22">
        <v>119</v>
      </c>
      <c r="B127" s="23" t="s">
        <v>367</v>
      </c>
      <c r="C127" s="24" t="s">
        <v>368</v>
      </c>
      <c r="D127" s="613"/>
      <c r="E127" s="626">
        <v>3598</v>
      </c>
      <c r="F127" s="626">
        <v>6611</v>
      </c>
      <c r="G127" s="626">
        <v>13469</v>
      </c>
      <c r="H127" s="626">
        <v>9155</v>
      </c>
      <c r="I127" s="626">
        <v>4247</v>
      </c>
      <c r="J127" s="626">
        <v>1886</v>
      </c>
      <c r="K127" s="626">
        <v>905</v>
      </c>
      <c r="L127" s="626">
        <v>95</v>
      </c>
      <c r="M127" s="627">
        <v>39966</v>
      </c>
      <c r="N127" s="322"/>
      <c r="O127" s="323">
        <v>158</v>
      </c>
      <c r="P127" s="323">
        <v>167</v>
      </c>
      <c r="Q127" s="323">
        <v>188</v>
      </c>
      <c r="R127" s="323">
        <v>129</v>
      </c>
      <c r="S127" s="323">
        <v>40</v>
      </c>
      <c r="T127" s="323">
        <v>18</v>
      </c>
      <c r="U127" s="323">
        <v>13</v>
      </c>
      <c r="V127" s="323">
        <v>2</v>
      </c>
      <c r="W127" s="323">
        <v>715</v>
      </c>
      <c r="X127" s="329" t="s">
        <v>934</v>
      </c>
      <c r="Y127" s="330">
        <v>0</v>
      </c>
      <c r="Z127" s="330">
        <v>0</v>
      </c>
      <c r="AA127" s="330">
        <v>0</v>
      </c>
      <c r="AB127" s="330">
        <v>0</v>
      </c>
      <c r="AC127" s="330">
        <v>0</v>
      </c>
      <c r="AD127" s="330">
        <v>0</v>
      </c>
      <c r="AE127" s="330">
        <v>0</v>
      </c>
      <c r="AF127" s="330">
        <v>0</v>
      </c>
      <c r="AG127" s="328">
        <v>0</v>
      </c>
      <c r="AH127" s="329" t="s">
        <v>934</v>
      </c>
      <c r="AI127" s="184">
        <v>1</v>
      </c>
      <c r="AJ127" s="184">
        <v>16</v>
      </c>
      <c r="AK127" s="184">
        <v>48</v>
      </c>
      <c r="AL127" s="184">
        <v>54</v>
      </c>
      <c r="AM127" s="184">
        <v>26</v>
      </c>
      <c r="AN127" s="184">
        <v>14</v>
      </c>
      <c r="AO127" s="184">
        <v>16</v>
      </c>
      <c r="AP127" s="184">
        <v>8</v>
      </c>
      <c r="AQ127" s="336">
        <v>183</v>
      </c>
      <c r="AR127" s="323">
        <v>0</v>
      </c>
      <c r="AS127" s="323">
        <v>2250</v>
      </c>
      <c r="AT127" s="323">
        <v>2992</v>
      </c>
      <c r="AU127" s="323">
        <v>4378</v>
      </c>
      <c r="AV127" s="323">
        <v>2223</v>
      </c>
      <c r="AW127" s="323">
        <v>803</v>
      </c>
      <c r="AX127" s="323">
        <v>292</v>
      </c>
      <c r="AY127" s="323">
        <v>108</v>
      </c>
      <c r="AZ127" s="323">
        <v>7</v>
      </c>
      <c r="BA127" s="323">
        <v>13053</v>
      </c>
      <c r="BB127" s="331">
        <v>0</v>
      </c>
      <c r="BC127" s="330">
        <v>2</v>
      </c>
      <c r="BD127" s="330">
        <v>10</v>
      </c>
      <c r="BE127" s="330">
        <v>23</v>
      </c>
      <c r="BF127" s="330">
        <v>23</v>
      </c>
      <c r="BG127" s="330">
        <v>8</v>
      </c>
      <c r="BH127" s="330">
        <v>0</v>
      </c>
      <c r="BI127" s="330">
        <v>1</v>
      </c>
      <c r="BJ127" s="330">
        <v>0</v>
      </c>
      <c r="BK127" s="328">
        <v>67</v>
      </c>
      <c r="BL127" s="323">
        <v>0</v>
      </c>
      <c r="BM127" s="323">
        <v>5</v>
      </c>
      <c r="BN127" s="323">
        <v>0</v>
      </c>
      <c r="BO127" s="323">
        <v>5</v>
      </c>
      <c r="BP127" s="323">
        <v>2</v>
      </c>
      <c r="BQ127" s="323">
        <v>4</v>
      </c>
      <c r="BR127" s="323">
        <v>8</v>
      </c>
      <c r="BS127" s="323">
        <v>9</v>
      </c>
      <c r="BT127" s="323">
        <v>11</v>
      </c>
      <c r="BU127" s="323">
        <v>44</v>
      </c>
      <c r="BV127" s="329" t="s">
        <v>934</v>
      </c>
      <c r="BW127" s="330">
        <v>3</v>
      </c>
      <c r="BX127" s="330">
        <v>0</v>
      </c>
      <c r="BY127" s="330">
        <v>2</v>
      </c>
      <c r="BZ127" s="330">
        <v>1</v>
      </c>
      <c r="CA127" s="330">
        <v>2</v>
      </c>
      <c r="CB127" s="330">
        <v>8</v>
      </c>
      <c r="CC127" s="330">
        <v>7</v>
      </c>
      <c r="CD127" s="330">
        <v>11</v>
      </c>
      <c r="CE127" s="328">
        <v>34</v>
      </c>
      <c r="CF127" s="322" t="s">
        <v>934</v>
      </c>
      <c r="CG127" s="323">
        <v>0</v>
      </c>
      <c r="CH127" s="323">
        <v>0</v>
      </c>
      <c r="CI127" s="323">
        <v>0</v>
      </c>
      <c r="CJ127" s="323">
        <v>0</v>
      </c>
      <c r="CK127" s="323">
        <v>0</v>
      </c>
      <c r="CL127" s="323">
        <v>0</v>
      </c>
      <c r="CM127" s="323">
        <v>0</v>
      </c>
      <c r="CN127" s="323">
        <v>0</v>
      </c>
      <c r="CO127" s="323">
        <v>0</v>
      </c>
      <c r="CP127" s="329" t="s">
        <v>934</v>
      </c>
      <c r="CQ127" s="330">
        <v>0</v>
      </c>
      <c r="CR127" s="330">
        <v>0</v>
      </c>
      <c r="CS127" s="330">
        <v>0</v>
      </c>
      <c r="CT127" s="330">
        <v>0</v>
      </c>
      <c r="CU127" s="330">
        <v>0</v>
      </c>
      <c r="CV127" s="330">
        <v>0</v>
      </c>
      <c r="CW127" s="330">
        <v>0</v>
      </c>
      <c r="CX127" s="330">
        <v>0</v>
      </c>
      <c r="CY127" s="328">
        <v>0</v>
      </c>
      <c r="CZ127" s="322" t="s">
        <v>934</v>
      </c>
      <c r="DA127" s="323">
        <v>173</v>
      </c>
      <c r="DB127" s="323">
        <v>157</v>
      </c>
      <c r="DC127" s="323">
        <v>169</v>
      </c>
      <c r="DD127" s="323">
        <v>97</v>
      </c>
      <c r="DE127" s="323">
        <v>39</v>
      </c>
      <c r="DF127" s="323">
        <v>23</v>
      </c>
      <c r="DG127" s="323">
        <v>12</v>
      </c>
      <c r="DH127" s="323">
        <v>1</v>
      </c>
      <c r="DI127" s="323">
        <v>671</v>
      </c>
      <c r="DJ127" s="337">
        <v>23</v>
      </c>
      <c r="DK127" s="644">
        <v>34627.9</v>
      </c>
      <c r="DL127" s="614">
        <v>3613</v>
      </c>
      <c r="DM127" s="614">
        <v>6644</v>
      </c>
      <c r="DN127" s="614">
        <v>13624</v>
      </c>
      <c r="DO127" s="614">
        <v>9233</v>
      </c>
      <c r="DP127" s="614">
        <v>4279</v>
      </c>
      <c r="DQ127" s="614">
        <v>1898</v>
      </c>
      <c r="DR127" s="614">
        <v>916</v>
      </c>
      <c r="DS127" s="615">
        <v>96</v>
      </c>
      <c r="DT127" s="607">
        <f t="shared" si="1"/>
        <v>40303</v>
      </c>
      <c r="DU127" s="342"/>
      <c r="EC127" s="646"/>
      <c r="EF127" s="123"/>
      <c r="EG127" s="124"/>
    </row>
    <row r="128" spans="1:137" ht="15">
      <c r="A128" s="22">
        <v>120</v>
      </c>
      <c r="B128" s="23" t="s">
        <v>369</v>
      </c>
      <c r="C128" s="24" t="s">
        <v>370</v>
      </c>
      <c r="D128" s="613"/>
      <c r="E128" s="628">
        <v>19247</v>
      </c>
      <c r="F128" s="628">
        <v>11595</v>
      </c>
      <c r="G128" s="628">
        <v>7980</v>
      </c>
      <c r="H128" s="628">
        <v>3716</v>
      </c>
      <c r="I128" s="628">
        <v>1587</v>
      </c>
      <c r="J128" s="628">
        <v>500</v>
      </c>
      <c r="K128" s="628">
        <v>246</v>
      </c>
      <c r="L128" s="628">
        <v>13</v>
      </c>
      <c r="M128" s="627">
        <v>44884</v>
      </c>
      <c r="N128" s="322"/>
      <c r="O128" s="323">
        <v>590</v>
      </c>
      <c r="P128" s="323">
        <v>199</v>
      </c>
      <c r="Q128" s="323">
        <v>122</v>
      </c>
      <c r="R128" s="323">
        <v>39</v>
      </c>
      <c r="S128" s="323">
        <v>17</v>
      </c>
      <c r="T128" s="323">
        <v>6</v>
      </c>
      <c r="U128" s="323">
        <v>4</v>
      </c>
      <c r="V128" s="323">
        <v>0</v>
      </c>
      <c r="W128" s="323">
        <v>977</v>
      </c>
      <c r="X128" s="329" t="s">
        <v>934</v>
      </c>
      <c r="Y128" s="330">
        <v>5</v>
      </c>
      <c r="Z128" s="330">
        <v>0</v>
      </c>
      <c r="AA128" s="330">
        <v>0</v>
      </c>
      <c r="AB128" s="330">
        <v>1</v>
      </c>
      <c r="AC128" s="330">
        <v>0</v>
      </c>
      <c r="AD128" s="330">
        <v>0</v>
      </c>
      <c r="AE128" s="330">
        <v>0</v>
      </c>
      <c r="AF128" s="330">
        <v>0</v>
      </c>
      <c r="AG128" s="328">
        <v>6</v>
      </c>
      <c r="AH128" s="329" t="s">
        <v>934</v>
      </c>
      <c r="AI128" s="184">
        <v>24</v>
      </c>
      <c r="AJ128" s="184">
        <v>88</v>
      </c>
      <c r="AK128" s="184">
        <v>76</v>
      </c>
      <c r="AL128" s="184">
        <v>39</v>
      </c>
      <c r="AM128" s="184">
        <v>17</v>
      </c>
      <c r="AN128" s="184">
        <v>9</v>
      </c>
      <c r="AO128" s="184">
        <v>19</v>
      </c>
      <c r="AP128" s="184">
        <v>3</v>
      </c>
      <c r="AQ128" s="336">
        <v>275</v>
      </c>
      <c r="AR128" s="323">
        <v>5</v>
      </c>
      <c r="AS128" s="323">
        <v>8134</v>
      </c>
      <c r="AT128" s="323">
        <v>3597</v>
      </c>
      <c r="AU128" s="323">
        <v>2076</v>
      </c>
      <c r="AV128" s="323">
        <v>681</v>
      </c>
      <c r="AW128" s="323">
        <v>219</v>
      </c>
      <c r="AX128" s="323">
        <v>76</v>
      </c>
      <c r="AY128" s="323">
        <v>31</v>
      </c>
      <c r="AZ128" s="323">
        <v>0</v>
      </c>
      <c r="BA128" s="323">
        <v>14819</v>
      </c>
      <c r="BB128" s="331">
        <v>0</v>
      </c>
      <c r="BC128" s="330">
        <v>68</v>
      </c>
      <c r="BD128" s="330">
        <v>59</v>
      </c>
      <c r="BE128" s="330">
        <v>45</v>
      </c>
      <c r="BF128" s="330">
        <v>20</v>
      </c>
      <c r="BG128" s="330">
        <v>8</v>
      </c>
      <c r="BH128" s="330">
        <v>2</v>
      </c>
      <c r="BI128" s="330">
        <v>1</v>
      </c>
      <c r="BJ128" s="330">
        <v>0</v>
      </c>
      <c r="BK128" s="328">
        <v>203</v>
      </c>
      <c r="BL128" s="323">
        <v>0</v>
      </c>
      <c r="BM128" s="323">
        <v>4</v>
      </c>
      <c r="BN128" s="323">
        <v>3</v>
      </c>
      <c r="BO128" s="323">
        <v>7</v>
      </c>
      <c r="BP128" s="323">
        <v>3</v>
      </c>
      <c r="BQ128" s="323">
        <v>9</v>
      </c>
      <c r="BR128" s="323">
        <v>20</v>
      </c>
      <c r="BS128" s="323">
        <v>8</v>
      </c>
      <c r="BT128" s="323">
        <v>0</v>
      </c>
      <c r="BU128" s="323">
        <v>54</v>
      </c>
      <c r="BV128" s="329" t="s">
        <v>934</v>
      </c>
      <c r="BW128" s="330">
        <v>2408</v>
      </c>
      <c r="BX128" s="330">
        <v>147</v>
      </c>
      <c r="BY128" s="330">
        <v>126</v>
      </c>
      <c r="BZ128" s="330">
        <v>47</v>
      </c>
      <c r="CA128" s="330">
        <v>15</v>
      </c>
      <c r="CB128" s="330">
        <v>14</v>
      </c>
      <c r="CC128" s="330">
        <v>7</v>
      </c>
      <c r="CD128" s="330">
        <v>0</v>
      </c>
      <c r="CE128" s="328">
        <v>2764</v>
      </c>
      <c r="CF128" s="322" t="s">
        <v>934</v>
      </c>
      <c r="CG128" s="323">
        <v>0</v>
      </c>
      <c r="CH128" s="323">
        <v>0</v>
      </c>
      <c r="CI128" s="323">
        <v>0</v>
      </c>
      <c r="CJ128" s="323">
        <v>0</v>
      </c>
      <c r="CK128" s="323">
        <v>0</v>
      </c>
      <c r="CL128" s="323">
        <v>0</v>
      </c>
      <c r="CM128" s="323">
        <v>0</v>
      </c>
      <c r="CN128" s="323">
        <v>0</v>
      </c>
      <c r="CO128" s="323">
        <v>0</v>
      </c>
      <c r="CP128" s="329" t="s">
        <v>934</v>
      </c>
      <c r="CQ128" s="330">
        <v>0</v>
      </c>
      <c r="CR128" s="330">
        <v>0</v>
      </c>
      <c r="CS128" s="330">
        <v>0</v>
      </c>
      <c r="CT128" s="330">
        <v>0</v>
      </c>
      <c r="CU128" s="330">
        <v>0</v>
      </c>
      <c r="CV128" s="330">
        <v>0</v>
      </c>
      <c r="CW128" s="330">
        <v>0</v>
      </c>
      <c r="CX128" s="330">
        <v>0</v>
      </c>
      <c r="CY128" s="328">
        <v>0</v>
      </c>
      <c r="CZ128" s="322" t="s">
        <v>934</v>
      </c>
      <c r="DA128" s="323">
        <v>304</v>
      </c>
      <c r="DB128" s="323">
        <v>120</v>
      </c>
      <c r="DC128" s="323">
        <v>61</v>
      </c>
      <c r="DD128" s="323">
        <v>29</v>
      </c>
      <c r="DE128" s="323">
        <v>10</v>
      </c>
      <c r="DF128" s="323">
        <v>12</v>
      </c>
      <c r="DG128" s="323">
        <v>3</v>
      </c>
      <c r="DH128" s="323">
        <v>1</v>
      </c>
      <c r="DI128" s="323">
        <v>540</v>
      </c>
      <c r="DJ128" s="337">
        <v>0</v>
      </c>
      <c r="DK128" s="644">
        <v>31108.9</v>
      </c>
      <c r="DL128" s="614">
        <v>19347</v>
      </c>
      <c r="DM128" s="614">
        <v>11653</v>
      </c>
      <c r="DN128" s="614">
        <v>8019</v>
      </c>
      <c r="DO128" s="614">
        <v>3771</v>
      </c>
      <c r="DP128" s="614">
        <v>1659</v>
      </c>
      <c r="DQ128" s="614">
        <v>518</v>
      </c>
      <c r="DR128" s="614">
        <v>249</v>
      </c>
      <c r="DS128" s="615">
        <v>13</v>
      </c>
      <c r="DT128" s="607">
        <f t="shared" si="1"/>
        <v>45229</v>
      </c>
      <c r="DU128" s="342"/>
      <c r="EC128" s="646"/>
      <c r="EF128" s="126"/>
      <c r="EG128" s="124"/>
    </row>
    <row r="129" spans="1:137" ht="15">
      <c r="A129" s="22">
        <v>121</v>
      </c>
      <c r="B129" s="23" t="s">
        <v>371</v>
      </c>
      <c r="C129" s="24" t="s">
        <v>372</v>
      </c>
      <c r="D129" s="613"/>
      <c r="E129" s="629">
        <v>11886</v>
      </c>
      <c r="F129" s="629">
        <v>18010</v>
      </c>
      <c r="G129" s="629">
        <v>34941</v>
      </c>
      <c r="H129" s="629">
        <v>19733</v>
      </c>
      <c r="I129" s="629">
        <v>10121</v>
      </c>
      <c r="J129" s="629">
        <v>2785</v>
      </c>
      <c r="K129" s="629">
        <v>1866</v>
      </c>
      <c r="L129" s="629">
        <v>301</v>
      </c>
      <c r="M129" s="633">
        <v>99643</v>
      </c>
      <c r="N129" s="322"/>
      <c r="O129" s="323">
        <v>606</v>
      </c>
      <c r="P129" s="323">
        <v>941</v>
      </c>
      <c r="Q129" s="323">
        <v>1189</v>
      </c>
      <c r="R129" s="323">
        <v>559</v>
      </c>
      <c r="S129" s="323">
        <v>263</v>
      </c>
      <c r="T129" s="323">
        <v>39</v>
      </c>
      <c r="U129" s="323">
        <v>28</v>
      </c>
      <c r="V129" s="323">
        <v>24</v>
      </c>
      <c r="W129" s="323">
        <v>3649</v>
      </c>
      <c r="X129" s="329" t="s">
        <v>934</v>
      </c>
      <c r="Y129" s="330">
        <v>5</v>
      </c>
      <c r="Z129" s="330">
        <v>1</v>
      </c>
      <c r="AA129" s="330">
        <v>0</v>
      </c>
      <c r="AB129" s="330">
        <v>1</v>
      </c>
      <c r="AC129" s="330">
        <v>0</v>
      </c>
      <c r="AD129" s="330">
        <v>1</v>
      </c>
      <c r="AE129" s="330">
        <v>2</v>
      </c>
      <c r="AF129" s="330">
        <v>0</v>
      </c>
      <c r="AG129" s="328">
        <v>10</v>
      </c>
      <c r="AH129" s="329" t="s">
        <v>934</v>
      </c>
      <c r="AI129" s="184">
        <v>3</v>
      </c>
      <c r="AJ129" s="184">
        <v>29</v>
      </c>
      <c r="AK129" s="184">
        <v>203</v>
      </c>
      <c r="AL129" s="184">
        <v>167</v>
      </c>
      <c r="AM129" s="184">
        <v>83</v>
      </c>
      <c r="AN129" s="184">
        <v>25</v>
      </c>
      <c r="AO129" s="184">
        <v>23</v>
      </c>
      <c r="AP129" s="184">
        <v>10</v>
      </c>
      <c r="AQ129" s="336">
        <v>543</v>
      </c>
      <c r="AR129" s="323">
        <v>1</v>
      </c>
      <c r="AS129" s="323">
        <v>5350</v>
      </c>
      <c r="AT129" s="323">
        <v>8256</v>
      </c>
      <c r="AU129" s="323">
        <v>11350</v>
      </c>
      <c r="AV129" s="323">
        <v>5415</v>
      </c>
      <c r="AW129" s="323">
        <v>2379</v>
      </c>
      <c r="AX129" s="323">
        <v>499</v>
      </c>
      <c r="AY129" s="323">
        <v>265</v>
      </c>
      <c r="AZ129" s="323">
        <v>25</v>
      </c>
      <c r="BA129" s="323">
        <v>33540</v>
      </c>
      <c r="BB129" s="331">
        <v>0</v>
      </c>
      <c r="BC129" s="330">
        <v>68</v>
      </c>
      <c r="BD129" s="330">
        <v>126</v>
      </c>
      <c r="BE129" s="330">
        <v>342</v>
      </c>
      <c r="BF129" s="330">
        <v>185</v>
      </c>
      <c r="BG129" s="330">
        <v>53</v>
      </c>
      <c r="BH129" s="330">
        <v>19</v>
      </c>
      <c r="BI129" s="330">
        <v>11</v>
      </c>
      <c r="BJ129" s="330">
        <v>0</v>
      </c>
      <c r="BK129" s="328">
        <v>804</v>
      </c>
      <c r="BL129" s="323">
        <v>0</v>
      </c>
      <c r="BM129" s="323">
        <v>7</v>
      </c>
      <c r="BN129" s="323">
        <v>5</v>
      </c>
      <c r="BO129" s="323">
        <v>23</v>
      </c>
      <c r="BP129" s="323">
        <v>30</v>
      </c>
      <c r="BQ129" s="323">
        <v>10</v>
      </c>
      <c r="BR129" s="323">
        <v>13</v>
      </c>
      <c r="BS129" s="323">
        <v>33</v>
      </c>
      <c r="BT129" s="323">
        <v>13</v>
      </c>
      <c r="BU129" s="323">
        <v>134</v>
      </c>
      <c r="BV129" s="329" t="s">
        <v>934</v>
      </c>
      <c r="BW129" s="330">
        <v>52</v>
      </c>
      <c r="BX129" s="330">
        <v>178</v>
      </c>
      <c r="BY129" s="330">
        <v>336</v>
      </c>
      <c r="BZ129" s="330">
        <v>139</v>
      </c>
      <c r="CA129" s="330">
        <v>74</v>
      </c>
      <c r="CB129" s="330">
        <v>23</v>
      </c>
      <c r="CC129" s="330">
        <v>12</v>
      </c>
      <c r="CD129" s="330">
        <v>0</v>
      </c>
      <c r="CE129" s="328">
        <v>814</v>
      </c>
      <c r="CF129" s="322" t="s">
        <v>934</v>
      </c>
      <c r="CG129" s="323">
        <v>246</v>
      </c>
      <c r="CH129" s="323">
        <v>322</v>
      </c>
      <c r="CI129" s="323">
        <v>573</v>
      </c>
      <c r="CJ129" s="323">
        <v>203</v>
      </c>
      <c r="CK129" s="323">
        <v>107</v>
      </c>
      <c r="CL129" s="323">
        <v>31</v>
      </c>
      <c r="CM129" s="323">
        <v>20</v>
      </c>
      <c r="CN129" s="323">
        <v>8</v>
      </c>
      <c r="CO129" s="323">
        <v>1510</v>
      </c>
      <c r="CP129" s="329" t="s">
        <v>934</v>
      </c>
      <c r="CQ129" s="330">
        <v>0</v>
      </c>
      <c r="CR129" s="330">
        <v>0</v>
      </c>
      <c r="CS129" s="330">
        <v>0</v>
      </c>
      <c r="CT129" s="330">
        <v>0</v>
      </c>
      <c r="CU129" s="330">
        <v>0</v>
      </c>
      <c r="CV129" s="330">
        <v>0</v>
      </c>
      <c r="CW129" s="330">
        <v>0</v>
      </c>
      <c r="CX129" s="330">
        <v>0</v>
      </c>
      <c r="CY129" s="328">
        <v>0</v>
      </c>
      <c r="CZ129" s="322" t="s">
        <v>934</v>
      </c>
      <c r="DA129" s="323">
        <v>0</v>
      </c>
      <c r="DB129" s="323">
        <v>0</v>
      </c>
      <c r="DC129" s="323">
        <v>0</v>
      </c>
      <c r="DD129" s="323">
        <v>0</v>
      </c>
      <c r="DE129" s="323">
        <v>0</v>
      </c>
      <c r="DF129" s="323">
        <v>0</v>
      </c>
      <c r="DG129" s="323">
        <v>0</v>
      </c>
      <c r="DH129" s="323">
        <v>0</v>
      </c>
      <c r="DI129" s="323">
        <v>0</v>
      </c>
      <c r="DJ129" s="337">
        <v>255.1</v>
      </c>
      <c r="DK129" s="644">
        <v>81044.7</v>
      </c>
      <c r="DL129" s="616">
        <v>11611</v>
      </c>
      <c r="DM129" s="616">
        <v>18228</v>
      </c>
      <c r="DN129" s="616">
        <v>35774</v>
      </c>
      <c r="DO129" s="616">
        <v>19908</v>
      </c>
      <c r="DP129" s="616">
        <v>10100</v>
      </c>
      <c r="DQ129" s="616">
        <v>2789</v>
      </c>
      <c r="DR129" s="616">
        <v>1866</v>
      </c>
      <c r="DS129" s="617">
        <v>305</v>
      </c>
      <c r="DT129" s="608">
        <f t="shared" si="1"/>
        <v>100581</v>
      </c>
      <c r="DU129" s="342"/>
      <c r="EC129" s="646"/>
      <c r="EF129" s="125"/>
      <c r="EG129" s="128"/>
    </row>
    <row r="130" spans="1:137" ht="15">
      <c r="A130" s="22">
        <v>122</v>
      </c>
      <c r="B130" s="23" t="s">
        <v>373</v>
      </c>
      <c r="C130" s="24" t="s">
        <v>374</v>
      </c>
      <c r="D130" s="613"/>
      <c r="E130" s="628">
        <v>768</v>
      </c>
      <c r="F130" s="628">
        <v>3185</v>
      </c>
      <c r="G130" s="628">
        <v>11271</v>
      </c>
      <c r="H130" s="628">
        <v>15076</v>
      </c>
      <c r="I130" s="628">
        <v>9639</v>
      </c>
      <c r="J130" s="628">
        <v>6278</v>
      </c>
      <c r="K130" s="628">
        <v>7200</v>
      </c>
      <c r="L130" s="628">
        <v>1498</v>
      </c>
      <c r="M130" s="627">
        <v>54915</v>
      </c>
      <c r="N130" s="322"/>
      <c r="O130" s="323">
        <v>83</v>
      </c>
      <c r="P130" s="323">
        <v>373</v>
      </c>
      <c r="Q130" s="323">
        <v>756</v>
      </c>
      <c r="R130" s="323">
        <v>800</v>
      </c>
      <c r="S130" s="323">
        <v>253</v>
      </c>
      <c r="T130" s="323">
        <v>106</v>
      </c>
      <c r="U130" s="323">
        <v>108</v>
      </c>
      <c r="V130" s="323">
        <v>42</v>
      </c>
      <c r="W130" s="323">
        <v>2521</v>
      </c>
      <c r="X130" s="329" t="s">
        <v>934</v>
      </c>
      <c r="Y130" s="330">
        <v>0</v>
      </c>
      <c r="Z130" s="330">
        <v>0</v>
      </c>
      <c r="AA130" s="330">
        <v>0</v>
      </c>
      <c r="AB130" s="330">
        <v>0</v>
      </c>
      <c r="AC130" s="330">
        <v>0</v>
      </c>
      <c r="AD130" s="330">
        <v>0</v>
      </c>
      <c r="AE130" s="330">
        <v>0</v>
      </c>
      <c r="AF130" s="330">
        <v>0</v>
      </c>
      <c r="AG130" s="328">
        <v>0</v>
      </c>
      <c r="AH130" s="329" t="s">
        <v>934</v>
      </c>
      <c r="AI130" s="184">
        <v>5</v>
      </c>
      <c r="AJ130" s="184">
        <v>8</v>
      </c>
      <c r="AK130" s="184">
        <v>59</v>
      </c>
      <c r="AL130" s="184">
        <v>106</v>
      </c>
      <c r="AM130" s="184">
        <v>61</v>
      </c>
      <c r="AN130" s="184">
        <v>50</v>
      </c>
      <c r="AO130" s="184">
        <v>69</v>
      </c>
      <c r="AP130" s="184">
        <v>24</v>
      </c>
      <c r="AQ130" s="336">
        <v>382</v>
      </c>
      <c r="AR130" s="323">
        <v>3</v>
      </c>
      <c r="AS130" s="323">
        <v>379</v>
      </c>
      <c r="AT130" s="323">
        <v>1964</v>
      </c>
      <c r="AU130" s="323">
        <v>5235</v>
      </c>
      <c r="AV130" s="323">
        <v>4480</v>
      </c>
      <c r="AW130" s="323">
        <v>2588</v>
      </c>
      <c r="AX130" s="323">
        <v>1356</v>
      </c>
      <c r="AY130" s="323">
        <v>1118</v>
      </c>
      <c r="AZ130" s="323">
        <v>146</v>
      </c>
      <c r="BA130" s="323">
        <v>17269</v>
      </c>
      <c r="BB130" s="331">
        <v>0</v>
      </c>
      <c r="BC130" s="330">
        <v>5</v>
      </c>
      <c r="BD130" s="330">
        <v>21</v>
      </c>
      <c r="BE130" s="330">
        <v>104</v>
      </c>
      <c r="BF130" s="330">
        <v>124</v>
      </c>
      <c r="BG130" s="330">
        <v>78</v>
      </c>
      <c r="BH130" s="330">
        <v>49</v>
      </c>
      <c r="BI130" s="330">
        <v>49</v>
      </c>
      <c r="BJ130" s="330">
        <v>9</v>
      </c>
      <c r="BK130" s="328">
        <v>439</v>
      </c>
      <c r="BL130" s="323">
        <v>0</v>
      </c>
      <c r="BM130" s="323">
        <v>0</v>
      </c>
      <c r="BN130" s="323">
        <v>0</v>
      </c>
      <c r="BO130" s="323">
        <v>11</v>
      </c>
      <c r="BP130" s="323">
        <v>18</v>
      </c>
      <c r="BQ130" s="323">
        <v>2</v>
      </c>
      <c r="BR130" s="323">
        <v>10</v>
      </c>
      <c r="BS130" s="323">
        <v>12</v>
      </c>
      <c r="BT130" s="323">
        <v>11</v>
      </c>
      <c r="BU130" s="323">
        <v>64</v>
      </c>
      <c r="BV130" s="329" t="s">
        <v>934</v>
      </c>
      <c r="BW130" s="330">
        <v>11</v>
      </c>
      <c r="BX130" s="330">
        <v>15</v>
      </c>
      <c r="BY130" s="330">
        <v>72</v>
      </c>
      <c r="BZ130" s="330">
        <v>63</v>
      </c>
      <c r="CA130" s="330">
        <v>46</v>
      </c>
      <c r="CB130" s="330">
        <v>32</v>
      </c>
      <c r="CC130" s="330">
        <v>25</v>
      </c>
      <c r="CD130" s="330">
        <v>11</v>
      </c>
      <c r="CE130" s="328">
        <v>275</v>
      </c>
      <c r="CF130" s="322" t="s">
        <v>934</v>
      </c>
      <c r="CG130" s="323">
        <v>0</v>
      </c>
      <c r="CH130" s="323">
        <v>0</v>
      </c>
      <c r="CI130" s="323">
        <v>0</v>
      </c>
      <c r="CJ130" s="323">
        <v>0</v>
      </c>
      <c r="CK130" s="323">
        <v>0</v>
      </c>
      <c r="CL130" s="323">
        <v>0</v>
      </c>
      <c r="CM130" s="323">
        <v>0</v>
      </c>
      <c r="CN130" s="323">
        <v>0</v>
      </c>
      <c r="CO130" s="323">
        <v>0</v>
      </c>
      <c r="CP130" s="329" t="s">
        <v>934</v>
      </c>
      <c r="CQ130" s="330">
        <v>30</v>
      </c>
      <c r="CR130" s="330">
        <v>42</v>
      </c>
      <c r="CS130" s="330">
        <v>122</v>
      </c>
      <c r="CT130" s="330">
        <v>137</v>
      </c>
      <c r="CU130" s="330">
        <v>109</v>
      </c>
      <c r="CV130" s="330">
        <v>54</v>
      </c>
      <c r="CW130" s="330">
        <v>45</v>
      </c>
      <c r="CX130" s="330">
        <v>25</v>
      </c>
      <c r="CY130" s="328">
        <v>564</v>
      </c>
      <c r="CZ130" s="322" t="s">
        <v>934</v>
      </c>
      <c r="DA130" s="323">
        <v>0</v>
      </c>
      <c r="DB130" s="323">
        <v>0</v>
      </c>
      <c r="DC130" s="323">
        <v>0</v>
      </c>
      <c r="DD130" s="323">
        <v>0</v>
      </c>
      <c r="DE130" s="323">
        <v>0</v>
      </c>
      <c r="DF130" s="323">
        <v>0</v>
      </c>
      <c r="DG130" s="323">
        <v>0</v>
      </c>
      <c r="DH130" s="323">
        <v>0</v>
      </c>
      <c r="DI130" s="323">
        <v>0</v>
      </c>
      <c r="DJ130" s="337">
        <v>425.8</v>
      </c>
      <c r="DK130" s="644">
        <v>56870.5</v>
      </c>
      <c r="DL130" s="614">
        <v>778</v>
      </c>
      <c r="DM130" s="614">
        <v>3248</v>
      </c>
      <c r="DN130" s="614">
        <v>11349</v>
      </c>
      <c r="DO130" s="614">
        <v>15315</v>
      </c>
      <c r="DP130" s="614">
        <v>9547</v>
      </c>
      <c r="DQ130" s="614">
        <v>6244</v>
      </c>
      <c r="DR130" s="614">
        <v>7207</v>
      </c>
      <c r="DS130" s="615">
        <v>1509</v>
      </c>
      <c r="DT130" s="607">
        <f t="shared" si="1"/>
        <v>55197</v>
      </c>
      <c r="DU130" s="342"/>
      <c r="EC130" s="646"/>
      <c r="EF130" s="126"/>
      <c r="EG130" s="124"/>
    </row>
    <row r="131" spans="1:137" ht="15">
      <c r="A131" s="22">
        <v>123</v>
      </c>
      <c r="B131" s="23" t="s">
        <v>375</v>
      </c>
      <c r="C131" s="24" t="s">
        <v>376</v>
      </c>
      <c r="D131" s="613"/>
      <c r="E131" s="629">
        <v>4782</v>
      </c>
      <c r="F131" s="629">
        <v>31348</v>
      </c>
      <c r="G131" s="629">
        <v>29189</v>
      </c>
      <c r="H131" s="629">
        <v>15287</v>
      </c>
      <c r="I131" s="629">
        <v>8880</v>
      </c>
      <c r="J131" s="629">
        <v>3876</v>
      </c>
      <c r="K131" s="629">
        <v>1126</v>
      </c>
      <c r="L131" s="629">
        <v>43</v>
      </c>
      <c r="M131" s="637">
        <v>94531</v>
      </c>
      <c r="N131" s="322"/>
      <c r="O131" s="323">
        <v>241</v>
      </c>
      <c r="P131" s="323">
        <v>1031</v>
      </c>
      <c r="Q131" s="323">
        <v>806</v>
      </c>
      <c r="R131" s="323">
        <v>387</v>
      </c>
      <c r="S131" s="323">
        <v>155</v>
      </c>
      <c r="T131" s="323">
        <v>52</v>
      </c>
      <c r="U131" s="323">
        <v>24</v>
      </c>
      <c r="V131" s="323">
        <v>6</v>
      </c>
      <c r="W131" s="323">
        <v>2702</v>
      </c>
      <c r="X131" s="329" t="s">
        <v>934</v>
      </c>
      <c r="Y131" s="330">
        <v>3</v>
      </c>
      <c r="Z131" s="330">
        <v>60</v>
      </c>
      <c r="AA131" s="330">
        <v>5</v>
      </c>
      <c r="AB131" s="330">
        <v>0</v>
      </c>
      <c r="AC131" s="330">
        <v>0</v>
      </c>
      <c r="AD131" s="330">
        <v>1</v>
      </c>
      <c r="AE131" s="330">
        <v>0</v>
      </c>
      <c r="AF131" s="330">
        <v>0</v>
      </c>
      <c r="AG131" s="328">
        <v>69</v>
      </c>
      <c r="AH131" s="329" t="s">
        <v>934</v>
      </c>
      <c r="AI131" s="184">
        <v>1</v>
      </c>
      <c r="AJ131" s="184">
        <v>26</v>
      </c>
      <c r="AK131" s="184">
        <v>49</v>
      </c>
      <c r="AL131" s="184">
        <v>48</v>
      </c>
      <c r="AM131" s="184">
        <v>42</v>
      </c>
      <c r="AN131" s="184">
        <v>26</v>
      </c>
      <c r="AO131" s="184">
        <v>6</v>
      </c>
      <c r="AP131" s="184">
        <v>1</v>
      </c>
      <c r="AQ131" s="336">
        <v>199</v>
      </c>
      <c r="AR131" s="323">
        <v>0</v>
      </c>
      <c r="AS131" s="323">
        <v>2545</v>
      </c>
      <c r="AT131" s="323">
        <v>17793</v>
      </c>
      <c r="AU131" s="323">
        <v>12650</v>
      </c>
      <c r="AV131" s="323">
        <v>5042</v>
      </c>
      <c r="AW131" s="323">
        <v>2170</v>
      </c>
      <c r="AX131" s="323">
        <v>590</v>
      </c>
      <c r="AY131" s="323">
        <v>184</v>
      </c>
      <c r="AZ131" s="323">
        <v>1</v>
      </c>
      <c r="BA131" s="323">
        <v>40975</v>
      </c>
      <c r="BB131" s="331">
        <v>0</v>
      </c>
      <c r="BC131" s="330">
        <v>34</v>
      </c>
      <c r="BD131" s="330">
        <v>265</v>
      </c>
      <c r="BE131" s="330">
        <v>346</v>
      </c>
      <c r="BF131" s="330">
        <v>179</v>
      </c>
      <c r="BG131" s="330">
        <v>73</v>
      </c>
      <c r="BH131" s="330">
        <v>42</v>
      </c>
      <c r="BI131" s="330">
        <v>4</v>
      </c>
      <c r="BJ131" s="330">
        <v>0</v>
      </c>
      <c r="BK131" s="328">
        <v>943</v>
      </c>
      <c r="BL131" s="323">
        <v>0</v>
      </c>
      <c r="BM131" s="323">
        <v>5</v>
      </c>
      <c r="BN131" s="323">
        <v>2</v>
      </c>
      <c r="BO131" s="323">
        <v>8</v>
      </c>
      <c r="BP131" s="323">
        <v>7</v>
      </c>
      <c r="BQ131" s="323">
        <v>11</v>
      </c>
      <c r="BR131" s="323">
        <v>8</v>
      </c>
      <c r="BS131" s="323">
        <v>5</v>
      </c>
      <c r="BT131" s="323">
        <v>4</v>
      </c>
      <c r="BU131" s="323">
        <v>50</v>
      </c>
      <c r="BV131" s="329" t="s">
        <v>934</v>
      </c>
      <c r="BW131" s="330">
        <v>4</v>
      </c>
      <c r="BX131" s="330">
        <v>15</v>
      </c>
      <c r="BY131" s="330">
        <v>29</v>
      </c>
      <c r="BZ131" s="330">
        <v>28</v>
      </c>
      <c r="CA131" s="330">
        <v>11</v>
      </c>
      <c r="CB131" s="330">
        <v>5</v>
      </c>
      <c r="CC131" s="330">
        <v>2</v>
      </c>
      <c r="CD131" s="330">
        <v>0</v>
      </c>
      <c r="CE131" s="328">
        <v>94</v>
      </c>
      <c r="CF131" s="322" t="s">
        <v>934</v>
      </c>
      <c r="CG131" s="323">
        <v>345</v>
      </c>
      <c r="CH131" s="323">
        <v>769</v>
      </c>
      <c r="CI131" s="323">
        <v>742</v>
      </c>
      <c r="CJ131" s="323">
        <v>336</v>
      </c>
      <c r="CK131" s="323">
        <v>145</v>
      </c>
      <c r="CL131" s="323">
        <v>69</v>
      </c>
      <c r="CM131" s="323">
        <v>31</v>
      </c>
      <c r="CN131" s="323">
        <v>4</v>
      </c>
      <c r="CO131" s="323">
        <v>2441</v>
      </c>
      <c r="CP131" s="329" t="s">
        <v>934</v>
      </c>
      <c r="CQ131" s="330">
        <v>0</v>
      </c>
      <c r="CR131" s="330">
        <v>0</v>
      </c>
      <c r="CS131" s="330">
        <v>0</v>
      </c>
      <c r="CT131" s="330">
        <v>0</v>
      </c>
      <c r="CU131" s="330">
        <v>0</v>
      </c>
      <c r="CV131" s="330">
        <v>0</v>
      </c>
      <c r="CW131" s="330">
        <v>0</v>
      </c>
      <c r="CX131" s="330">
        <v>0</v>
      </c>
      <c r="CY131" s="328">
        <v>0</v>
      </c>
      <c r="CZ131" s="322" t="s">
        <v>934</v>
      </c>
      <c r="DA131" s="323">
        <v>0</v>
      </c>
      <c r="DB131" s="323">
        <v>0</v>
      </c>
      <c r="DC131" s="323">
        <v>0</v>
      </c>
      <c r="DD131" s="323">
        <v>0</v>
      </c>
      <c r="DE131" s="323">
        <v>0</v>
      </c>
      <c r="DF131" s="323">
        <v>0</v>
      </c>
      <c r="DG131" s="323">
        <v>0</v>
      </c>
      <c r="DH131" s="323">
        <v>0</v>
      </c>
      <c r="DI131" s="323">
        <v>0</v>
      </c>
      <c r="DJ131" s="337">
        <v>0</v>
      </c>
      <c r="DK131" s="644">
        <v>74467.1</v>
      </c>
      <c r="DL131" s="616">
        <v>4941</v>
      </c>
      <c r="DM131" s="616">
        <v>31397</v>
      </c>
      <c r="DN131" s="616">
        <v>29586</v>
      </c>
      <c r="DO131" s="616">
        <v>16097</v>
      </c>
      <c r="DP131" s="616">
        <v>9006</v>
      </c>
      <c r="DQ131" s="616">
        <v>3931</v>
      </c>
      <c r="DR131" s="616">
        <v>1111</v>
      </c>
      <c r="DS131" s="617">
        <v>42</v>
      </c>
      <c r="DT131" s="608">
        <f t="shared" si="1"/>
        <v>96111</v>
      </c>
      <c r="DU131" s="342"/>
      <c r="EC131" s="646"/>
      <c r="EF131" s="125"/>
      <c r="EG131" s="128"/>
    </row>
    <row r="132" spans="1:137" ht="15">
      <c r="A132" s="22">
        <v>124</v>
      </c>
      <c r="B132" s="23" t="s">
        <v>377</v>
      </c>
      <c r="C132" s="24" t="s">
        <v>378</v>
      </c>
      <c r="D132" s="613"/>
      <c r="E132" s="632">
        <v>25507</v>
      </c>
      <c r="F132" s="632">
        <v>10872</v>
      </c>
      <c r="G132" s="632">
        <v>7699</v>
      </c>
      <c r="H132" s="632">
        <v>4394</v>
      </c>
      <c r="I132" s="632">
        <v>3238</v>
      </c>
      <c r="J132" s="632">
        <v>898</v>
      </c>
      <c r="K132" s="632">
        <v>328</v>
      </c>
      <c r="L132" s="632">
        <v>38</v>
      </c>
      <c r="M132" s="627">
        <v>52974</v>
      </c>
      <c r="N132" s="322"/>
      <c r="O132" s="323">
        <v>617</v>
      </c>
      <c r="P132" s="323">
        <v>178</v>
      </c>
      <c r="Q132" s="323">
        <v>105</v>
      </c>
      <c r="R132" s="323">
        <v>50</v>
      </c>
      <c r="S132" s="323">
        <v>25</v>
      </c>
      <c r="T132" s="323">
        <v>11</v>
      </c>
      <c r="U132" s="323">
        <v>6</v>
      </c>
      <c r="V132" s="323">
        <v>1</v>
      </c>
      <c r="W132" s="323">
        <v>993</v>
      </c>
      <c r="X132" s="329" t="s">
        <v>934</v>
      </c>
      <c r="Y132" s="330">
        <v>47</v>
      </c>
      <c r="Z132" s="330">
        <v>0</v>
      </c>
      <c r="AA132" s="330">
        <v>0</v>
      </c>
      <c r="AB132" s="330">
        <v>0</v>
      </c>
      <c r="AC132" s="330">
        <v>0</v>
      </c>
      <c r="AD132" s="330">
        <v>0</v>
      </c>
      <c r="AE132" s="330">
        <v>0</v>
      </c>
      <c r="AF132" s="330">
        <v>0</v>
      </c>
      <c r="AG132" s="328">
        <v>47</v>
      </c>
      <c r="AH132" s="329" t="s">
        <v>934</v>
      </c>
      <c r="AI132" s="184">
        <v>50</v>
      </c>
      <c r="AJ132" s="184">
        <v>72</v>
      </c>
      <c r="AK132" s="184">
        <v>62</v>
      </c>
      <c r="AL132" s="184">
        <v>62</v>
      </c>
      <c r="AM132" s="184">
        <v>24</v>
      </c>
      <c r="AN132" s="184">
        <v>8</v>
      </c>
      <c r="AO132" s="184">
        <v>10</v>
      </c>
      <c r="AP132" s="184">
        <v>8</v>
      </c>
      <c r="AQ132" s="336">
        <v>296</v>
      </c>
      <c r="AR132" s="323">
        <v>8</v>
      </c>
      <c r="AS132" s="323">
        <v>12451</v>
      </c>
      <c r="AT132" s="323">
        <v>3457</v>
      </c>
      <c r="AU132" s="323">
        <v>1920</v>
      </c>
      <c r="AV132" s="323">
        <v>851</v>
      </c>
      <c r="AW132" s="323">
        <v>400</v>
      </c>
      <c r="AX132" s="323">
        <v>120</v>
      </c>
      <c r="AY132" s="323">
        <v>38</v>
      </c>
      <c r="AZ132" s="323">
        <v>2</v>
      </c>
      <c r="BA132" s="323">
        <v>19247</v>
      </c>
      <c r="BB132" s="331">
        <v>3</v>
      </c>
      <c r="BC132" s="330">
        <v>197</v>
      </c>
      <c r="BD132" s="330">
        <v>90</v>
      </c>
      <c r="BE132" s="330">
        <v>75</v>
      </c>
      <c r="BF132" s="330">
        <v>37</v>
      </c>
      <c r="BG132" s="330">
        <v>24</v>
      </c>
      <c r="BH132" s="330">
        <v>8</v>
      </c>
      <c r="BI132" s="330">
        <v>3</v>
      </c>
      <c r="BJ132" s="330">
        <v>0</v>
      </c>
      <c r="BK132" s="328">
        <v>437</v>
      </c>
      <c r="BL132" s="323">
        <v>0</v>
      </c>
      <c r="BM132" s="323">
        <v>10</v>
      </c>
      <c r="BN132" s="323">
        <v>5</v>
      </c>
      <c r="BO132" s="323">
        <v>23</v>
      </c>
      <c r="BP132" s="323">
        <v>10</v>
      </c>
      <c r="BQ132" s="323">
        <v>10</v>
      </c>
      <c r="BR132" s="323">
        <v>6</v>
      </c>
      <c r="BS132" s="323">
        <v>1</v>
      </c>
      <c r="BT132" s="323">
        <v>0</v>
      </c>
      <c r="BU132" s="323">
        <v>65</v>
      </c>
      <c r="BV132" s="329" t="s">
        <v>934</v>
      </c>
      <c r="BW132" s="330">
        <v>5</v>
      </c>
      <c r="BX132" s="330">
        <v>5</v>
      </c>
      <c r="BY132" s="330">
        <v>2</v>
      </c>
      <c r="BZ132" s="330">
        <v>1</v>
      </c>
      <c r="CA132" s="330">
        <v>0</v>
      </c>
      <c r="CB132" s="330">
        <v>1</v>
      </c>
      <c r="CC132" s="330">
        <v>0</v>
      </c>
      <c r="CD132" s="330">
        <v>0</v>
      </c>
      <c r="CE132" s="328">
        <v>14</v>
      </c>
      <c r="CF132" s="322" t="s">
        <v>934</v>
      </c>
      <c r="CG132" s="323">
        <v>403</v>
      </c>
      <c r="CH132" s="323">
        <v>199</v>
      </c>
      <c r="CI132" s="323">
        <v>110</v>
      </c>
      <c r="CJ132" s="323">
        <v>53</v>
      </c>
      <c r="CK132" s="323">
        <v>46</v>
      </c>
      <c r="CL132" s="323">
        <v>14</v>
      </c>
      <c r="CM132" s="323">
        <v>9</v>
      </c>
      <c r="CN132" s="323">
        <v>4</v>
      </c>
      <c r="CO132" s="323">
        <v>838</v>
      </c>
      <c r="CP132" s="329" t="s">
        <v>934</v>
      </c>
      <c r="CQ132" s="330">
        <v>0</v>
      </c>
      <c r="CR132" s="330">
        <v>0</v>
      </c>
      <c r="CS132" s="330">
        <v>0</v>
      </c>
      <c r="CT132" s="330">
        <v>0</v>
      </c>
      <c r="CU132" s="330">
        <v>0</v>
      </c>
      <c r="CV132" s="330">
        <v>0</v>
      </c>
      <c r="CW132" s="330">
        <v>0</v>
      </c>
      <c r="CX132" s="330">
        <v>0</v>
      </c>
      <c r="CY132" s="328">
        <v>0</v>
      </c>
      <c r="CZ132" s="322" t="s">
        <v>934</v>
      </c>
      <c r="DA132" s="323">
        <v>0</v>
      </c>
      <c r="DB132" s="323">
        <v>0</v>
      </c>
      <c r="DC132" s="323">
        <v>0</v>
      </c>
      <c r="DD132" s="323">
        <v>0</v>
      </c>
      <c r="DE132" s="323">
        <v>0</v>
      </c>
      <c r="DF132" s="323">
        <v>0</v>
      </c>
      <c r="DG132" s="323">
        <v>0</v>
      </c>
      <c r="DH132" s="323">
        <v>0</v>
      </c>
      <c r="DI132" s="323">
        <v>0</v>
      </c>
      <c r="DJ132" s="337">
        <v>0</v>
      </c>
      <c r="DK132" s="644">
        <v>37720.6</v>
      </c>
      <c r="DL132" s="616">
        <v>25608</v>
      </c>
      <c r="DM132" s="616">
        <v>11128</v>
      </c>
      <c r="DN132" s="616">
        <v>7731</v>
      </c>
      <c r="DO132" s="616">
        <v>4481</v>
      </c>
      <c r="DP132" s="616">
        <v>3221</v>
      </c>
      <c r="DQ132" s="616">
        <v>930</v>
      </c>
      <c r="DR132" s="616">
        <v>332</v>
      </c>
      <c r="DS132" s="617">
        <v>38</v>
      </c>
      <c r="DT132" s="607">
        <f t="shared" si="1"/>
        <v>53469</v>
      </c>
      <c r="DU132" s="342"/>
      <c r="EC132" s="646"/>
      <c r="EF132" s="130"/>
      <c r="EG132" s="124"/>
    </row>
    <row r="133" spans="1:137" ht="15">
      <c r="A133" s="22">
        <v>125</v>
      </c>
      <c r="B133" s="23" t="s">
        <v>379</v>
      </c>
      <c r="C133" s="24" t="s">
        <v>380</v>
      </c>
      <c r="D133" s="613"/>
      <c r="E133" s="626">
        <v>3260</v>
      </c>
      <c r="F133" s="626">
        <v>7857</v>
      </c>
      <c r="G133" s="626">
        <v>8711</v>
      </c>
      <c r="H133" s="626">
        <v>6298</v>
      </c>
      <c r="I133" s="626">
        <v>5652</v>
      </c>
      <c r="J133" s="626">
        <v>3700</v>
      </c>
      <c r="K133" s="626">
        <v>2341</v>
      </c>
      <c r="L133" s="626">
        <v>150</v>
      </c>
      <c r="M133" s="627">
        <v>37969</v>
      </c>
      <c r="N133" s="322"/>
      <c r="O133" s="323">
        <v>273</v>
      </c>
      <c r="P133" s="323">
        <v>490</v>
      </c>
      <c r="Q133" s="323">
        <v>421</v>
      </c>
      <c r="R133" s="323">
        <v>243</v>
      </c>
      <c r="S133" s="323">
        <v>139</v>
      </c>
      <c r="T133" s="323">
        <v>53</v>
      </c>
      <c r="U133" s="323">
        <v>38</v>
      </c>
      <c r="V133" s="323">
        <v>13</v>
      </c>
      <c r="W133" s="323">
        <v>1670</v>
      </c>
      <c r="X133" s="329" t="s">
        <v>934</v>
      </c>
      <c r="Y133" s="330">
        <v>0</v>
      </c>
      <c r="Z133" s="330">
        <v>0</v>
      </c>
      <c r="AA133" s="330">
        <v>0</v>
      </c>
      <c r="AB133" s="330">
        <v>0</v>
      </c>
      <c r="AC133" s="330">
        <v>0</v>
      </c>
      <c r="AD133" s="330">
        <v>0</v>
      </c>
      <c r="AE133" s="330">
        <v>0</v>
      </c>
      <c r="AF133" s="330">
        <v>0</v>
      </c>
      <c r="AG133" s="328">
        <v>0</v>
      </c>
      <c r="AH133" s="329" t="s">
        <v>934</v>
      </c>
      <c r="AI133" s="184">
        <v>2</v>
      </c>
      <c r="AJ133" s="184">
        <v>14</v>
      </c>
      <c r="AK133" s="184">
        <v>31</v>
      </c>
      <c r="AL133" s="184">
        <v>28</v>
      </c>
      <c r="AM133" s="184">
        <v>24</v>
      </c>
      <c r="AN133" s="184">
        <v>15</v>
      </c>
      <c r="AO133" s="184">
        <v>14</v>
      </c>
      <c r="AP133" s="184">
        <v>8</v>
      </c>
      <c r="AQ133" s="336">
        <v>136</v>
      </c>
      <c r="AR133" s="323">
        <v>2</v>
      </c>
      <c r="AS133" s="323">
        <v>1804</v>
      </c>
      <c r="AT133" s="323">
        <v>2741</v>
      </c>
      <c r="AU133" s="323">
        <v>2527</v>
      </c>
      <c r="AV133" s="323">
        <v>1533</v>
      </c>
      <c r="AW133" s="323">
        <v>966</v>
      </c>
      <c r="AX133" s="323">
        <v>496</v>
      </c>
      <c r="AY133" s="323">
        <v>256</v>
      </c>
      <c r="AZ133" s="323">
        <v>9</v>
      </c>
      <c r="BA133" s="323">
        <v>10334</v>
      </c>
      <c r="BB133" s="331">
        <v>0</v>
      </c>
      <c r="BC133" s="330">
        <v>17</v>
      </c>
      <c r="BD133" s="330">
        <v>54</v>
      </c>
      <c r="BE133" s="330">
        <v>63</v>
      </c>
      <c r="BF133" s="330">
        <v>42</v>
      </c>
      <c r="BG133" s="330">
        <v>40</v>
      </c>
      <c r="BH133" s="330">
        <v>24</v>
      </c>
      <c r="BI133" s="330">
        <v>15</v>
      </c>
      <c r="BJ133" s="330">
        <v>0</v>
      </c>
      <c r="BK133" s="328">
        <v>255</v>
      </c>
      <c r="BL133" s="323">
        <v>0</v>
      </c>
      <c r="BM133" s="323">
        <v>0</v>
      </c>
      <c r="BN133" s="323">
        <v>2</v>
      </c>
      <c r="BO133" s="323">
        <v>1</v>
      </c>
      <c r="BP133" s="323">
        <v>2</v>
      </c>
      <c r="BQ133" s="323">
        <v>1</v>
      </c>
      <c r="BR133" s="323">
        <v>12</v>
      </c>
      <c r="BS133" s="323">
        <v>9</v>
      </c>
      <c r="BT133" s="323">
        <v>3</v>
      </c>
      <c r="BU133" s="323">
        <v>30</v>
      </c>
      <c r="BV133" s="329" t="s">
        <v>934</v>
      </c>
      <c r="BW133" s="330">
        <v>61</v>
      </c>
      <c r="BX133" s="330">
        <v>66</v>
      </c>
      <c r="BY133" s="330">
        <v>102</v>
      </c>
      <c r="BZ133" s="330">
        <v>74</v>
      </c>
      <c r="CA133" s="330">
        <v>54</v>
      </c>
      <c r="CB133" s="330">
        <v>22</v>
      </c>
      <c r="CC133" s="330">
        <v>26</v>
      </c>
      <c r="CD133" s="330">
        <v>5</v>
      </c>
      <c r="CE133" s="328">
        <v>410</v>
      </c>
      <c r="CF133" s="322" t="s">
        <v>934</v>
      </c>
      <c r="CG133" s="323">
        <v>0</v>
      </c>
      <c r="CH133" s="323">
        <v>0</v>
      </c>
      <c r="CI133" s="323">
        <v>0</v>
      </c>
      <c r="CJ133" s="323">
        <v>0</v>
      </c>
      <c r="CK133" s="323">
        <v>0</v>
      </c>
      <c r="CL133" s="323">
        <v>0</v>
      </c>
      <c r="CM133" s="323">
        <v>0</v>
      </c>
      <c r="CN133" s="323">
        <v>0</v>
      </c>
      <c r="CO133" s="323">
        <v>0</v>
      </c>
      <c r="CP133" s="329" t="s">
        <v>934</v>
      </c>
      <c r="CQ133" s="330">
        <v>81</v>
      </c>
      <c r="CR133" s="330">
        <v>91</v>
      </c>
      <c r="CS133" s="330">
        <v>100</v>
      </c>
      <c r="CT133" s="330">
        <v>77</v>
      </c>
      <c r="CU133" s="330">
        <v>43</v>
      </c>
      <c r="CV133" s="330">
        <v>26</v>
      </c>
      <c r="CW133" s="330">
        <v>17</v>
      </c>
      <c r="CX133" s="330">
        <v>0</v>
      </c>
      <c r="CY133" s="328">
        <v>435</v>
      </c>
      <c r="CZ133" s="322" t="s">
        <v>934</v>
      </c>
      <c r="DA133" s="323">
        <v>0</v>
      </c>
      <c r="DB133" s="323">
        <v>0</v>
      </c>
      <c r="DC133" s="323">
        <v>0</v>
      </c>
      <c r="DD133" s="323">
        <v>0</v>
      </c>
      <c r="DE133" s="323">
        <v>0</v>
      </c>
      <c r="DF133" s="323">
        <v>0</v>
      </c>
      <c r="DG133" s="323">
        <v>0</v>
      </c>
      <c r="DH133" s="323">
        <v>0</v>
      </c>
      <c r="DI133" s="323">
        <v>0</v>
      </c>
      <c r="DJ133" s="337">
        <v>616.1</v>
      </c>
      <c r="DK133" s="644">
        <v>35236.2</v>
      </c>
      <c r="DL133" s="614">
        <v>3309</v>
      </c>
      <c r="DM133" s="614">
        <v>8040</v>
      </c>
      <c r="DN133" s="614">
        <v>8760</v>
      </c>
      <c r="DO133" s="614">
        <v>6381</v>
      </c>
      <c r="DP133" s="614">
        <v>5681</v>
      </c>
      <c r="DQ133" s="614">
        <v>3720</v>
      </c>
      <c r="DR133" s="614">
        <v>2354</v>
      </c>
      <c r="DS133" s="615">
        <v>152</v>
      </c>
      <c r="DT133" s="607">
        <f t="shared" si="1"/>
        <v>38397</v>
      </c>
      <c r="DU133" s="342"/>
      <c r="EC133" s="646"/>
      <c r="EF133" s="123"/>
      <c r="EG133" s="124"/>
    </row>
    <row r="134" spans="1:137" ht="15">
      <c r="A134" s="22">
        <v>126</v>
      </c>
      <c r="B134" s="23" t="s">
        <v>381</v>
      </c>
      <c r="C134" s="24" t="s">
        <v>382</v>
      </c>
      <c r="D134" s="613"/>
      <c r="E134" s="629">
        <v>2957</v>
      </c>
      <c r="F134" s="629">
        <v>5365</v>
      </c>
      <c r="G134" s="629">
        <v>13274</v>
      </c>
      <c r="H134" s="629">
        <v>22179</v>
      </c>
      <c r="I134" s="629">
        <v>14105</v>
      </c>
      <c r="J134" s="629">
        <v>8784</v>
      </c>
      <c r="K134" s="629">
        <v>10403</v>
      </c>
      <c r="L134" s="629">
        <v>1933</v>
      </c>
      <c r="M134" s="627">
        <v>79000</v>
      </c>
      <c r="N134" s="322"/>
      <c r="O134" s="323">
        <v>225</v>
      </c>
      <c r="P134" s="323">
        <v>254</v>
      </c>
      <c r="Q134" s="323">
        <v>761</v>
      </c>
      <c r="R134" s="323">
        <v>916</v>
      </c>
      <c r="S134" s="323">
        <v>513</v>
      </c>
      <c r="T134" s="323">
        <v>326</v>
      </c>
      <c r="U134" s="323">
        <v>276</v>
      </c>
      <c r="V134" s="323">
        <v>53</v>
      </c>
      <c r="W134" s="323">
        <v>3324</v>
      </c>
      <c r="X134" s="329" t="s">
        <v>934</v>
      </c>
      <c r="Y134" s="330">
        <v>0</v>
      </c>
      <c r="Z134" s="330">
        <v>1</v>
      </c>
      <c r="AA134" s="330">
        <v>6</v>
      </c>
      <c r="AB134" s="330">
        <v>4</v>
      </c>
      <c r="AC134" s="330">
        <v>0</v>
      </c>
      <c r="AD134" s="330">
        <v>2</v>
      </c>
      <c r="AE134" s="330">
        <v>0</v>
      </c>
      <c r="AF134" s="330">
        <v>2</v>
      </c>
      <c r="AG134" s="328">
        <v>15</v>
      </c>
      <c r="AH134" s="329" t="s">
        <v>934</v>
      </c>
      <c r="AI134" s="184">
        <v>0</v>
      </c>
      <c r="AJ134" s="184">
        <v>13</v>
      </c>
      <c r="AK134" s="184">
        <v>39</v>
      </c>
      <c r="AL134" s="184">
        <v>37</v>
      </c>
      <c r="AM134" s="184">
        <v>52</v>
      </c>
      <c r="AN134" s="184">
        <v>54</v>
      </c>
      <c r="AO134" s="184">
        <v>49</v>
      </c>
      <c r="AP134" s="184">
        <v>10</v>
      </c>
      <c r="AQ134" s="336">
        <v>254</v>
      </c>
      <c r="AR134" s="323">
        <v>0</v>
      </c>
      <c r="AS134" s="323">
        <v>1903</v>
      </c>
      <c r="AT134" s="323">
        <v>3337</v>
      </c>
      <c r="AU134" s="323">
        <v>7290</v>
      </c>
      <c r="AV134" s="323">
        <v>10184</v>
      </c>
      <c r="AW134" s="323">
        <v>4903</v>
      </c>
      <c r="AX134" s="323">
        <v>2480</v>
      </c>
      <c r="AY134" s="323">
        <v>2082</v>
      </c>
      <c r="AZ134" s="323">
        <v>189</v>
      </c>
      <c r="BA134" s="323">
        <v>32368</v>
      </c>
      <c r="BB134" s="331">
        <v>0</v>
      </c>
      <c r="BC134" s="330">
        <v>12</v>
      </c>
      <c r="BD134" s="330">
        <v>26</v>
      </c>
      <c r="BE134" s="330">
        <v>130</v>
      </c>
      <c r="BF134" s="330">
        <v>150</v>
      </c>
      <c r="BG134" s="330">
        <v>93</v>
      </c>
      <c r="BH134" s="330">
        <v>54</v>
      </c>
      <c r="BI134" s="330">
        <v>41</v>
      </c>
      <c r="BJ134" s="330">
        <v>7</v>
      </c>
      <c r="BK134" s="328">
        <v>513</v>
      </c>
      <c r="BL134" s="323">
        <v>0</v>
      </c>
      <c r="BM134" s="323">
        <v>0</v>
      </c>
      <c r="BN134" s="323">
        <v>1</v>
      </c>
      <c r="BO134" s="323">
        <v>2</v>
      </c>
      <c r="BP134" s="323">
        <v>4</v>
      </c>
      <c r="BQ134" s="323">
        <v>3</v>
      </c>
      <c r="BR134" s="323">
        <v>10</v>
      </c>
      <c r="BS134" s="323">
        <v>31</v>
      </c>
      <c r="BT134" s="323">
        <v>9</v>
      </c>
      <c r="BU134" s="323">
        <v>60</v>
      </c>
      <c r="BV134" s="329" t="s">
        <v>934</v>
      </c>
      <c r="BW134" s="330">
        <v>71</v>
      </c>
      <c r="BX134" s="330">
        <v>82</v>
      </c>
      <c r="BY134" s="330">
        <v>257</v>
      </c>
      <c r="BZ134" s="330">
        <v>570</v>
      </c>
      <c r="CA134" s="330">
        <v>383</v>
      </c>
      <c r="CB134" s="330">
        <v>209</v>
      </c>
      <c r="CC134" s="330">
        <v>278</v>
      </c>
      <c r="CD134" s="330">
        <v>73</v>
      </c>
      <c r="CE134" s="328">
        <v>1923</v>
      </c>
      <c r="CF134" s="322" t="s">
        <v>934</v>
      </c>
      <c r="CG134" s="323">
        <v>0</v>
      </c>
      <c r="CH134" s="323">
        <v>0</v>
      </c>
      <c r="CI134" s="323">
        <v>0</v>
      </c>
      <c r="CJ134" s="323">
        <v>0</v>
      </c>
      <c r="CK134" s="323">
        <v>0</v>
      </c>
      <c r="CL134" s="323">
        <v>0</v>
      </c>
      <c r="CM134" s="323">
        <v>0</v>
      </c>
      <c r="CN134" s="323">
        <v>0</v>
      </c>
      <c r="CO134" s="323">
        <v>0</v>
      </c>
      <c r="CP134" s="329" t="s">
        <v>934</v>
      </c>
      <c r="CQ134" s="330">
        <v>43</v>
      </c>
      <c r="CR134" s="330">
        <v>81</v>
      </c>
      <c r="CS134" s="330">
        <v>161</v>
      </c>
      <c r="CT134" s="330">
        <v>202</v>
      </c>
      <c r="CU134" s="330">
        <v>145</v>
      </c>
      <c r="CV134" s="330">
        <v>85</v>
      </c>
      <c r="CW134" s="330">
        <v>101</v>
      </c>
      <c r="CX134" s="330">
        <v>36</v>
      </c>
      <c r="CY134" s="328">
        <v>854</v>
      </c>
      <c r="CZ134" s="322" t="s">
        <v>934</v>
      </c>
      <c r="DA134" s="323">
        <v>0</v>
      </c>
      <c r="DB134" s="323">
        <v>0</v>
      </c>
      <c r="DC134" s="323">
        <v>0</v>
      </c>
      <c r="DD134" s="323">
        <v>0</v>
      </c>
      <c r="DE134" s="323">
        <v>0</v>
      </c>
      <c r="DF134" s="323">
        <v>0</v>
      </c>
      <c r="DG134" s="323">
        <v>0</v>
      </c>
      <c r="DH134" s="323">
        <v>0</v>
      </c>
      <c r="DI134" s="323">
        <v>0</v>
      </c>
      <c r="DJ134" s="337">
        <v>0</v>
      </c>
      <c r="DK134" s="644">
        <v>77764.3</v>
      </c>
      <c r="DL134" s="616">
        <v>2991</v>
      </c>
      <c r="DM134" s="616">
        <v>5396</v>
      </c>
      <c r="DN134" s="616">
        <v>13555</v>
      </c>
      <c r="DO134" s="616">
        <v>22436</v>
      </c>
      <c r="DP134" s="616">
        <v>14145</v>
      </c>
      <c r="DQ134" s="616">
        <v>8878</v>
      </c>
      <c r="DR134" s="616">
        <v>10441</v>
      </c>
      <c r="DS134" s="617">
        <v>1939</v>
      </c>
      <c r="DT134" s="607">
        <f t="shared" si="1"/>
        <v>79781</v>
      </c>
      <c r="DU134" s="342"/>
      <c r="EC134" s="646"/>
      <c r="EF134" s="125"/>
      <c r="EG134" s="124"/>
    </row>
    <row r="135" spans="1:137" ht="15">
      <c r="A135" s="22">
        <v>127</v>
      </c>
      <c r="B135" s="23" t="s">
        <v>383</v>
      </c>
      <c r="C135" s="24" t="s">
        <v>384</v>
      </c>
      <c r="D135" s="613"/>
      <c r="E135" s="630">
        <v>3925</v>
      </c>
      <c r="F135" s="630">
        <v>7021</v>
      </c>
      <c r="G135" s="630">
        <v>7029</v>
      </c>
      <c r="H135" s="630">
        <v>5233</v>
      </c>
      <c r="I135" s="630">
        <v>5245</v>
      </c>
      <c r="J135" s="630">
        <v>3030</v>
      </c>
      <c r="K135" s="630">
        <v>2149</v>
      </c>
      <c r="L135" s="630">
        <v>224</v>
      </c>
      <c r="M135" s="627">
        <v>33856</v>
      </c>
      <c r="N135" s="322"/>
      <c r="O135" s="323">
        <v>189</v>
      </c>
      <c r="P135" s="323">
        <v>184</v>
      </c>
      <c r="Q135" s="323">
        <v>144</v>
      </c>
      <c r="R135" s="323">
        <v>81</v>
      </c>
      <c r="S135" s="323">
        <v>71</v>
      </c>
      <c r="T135" s="323">
        <v>31</v>
      </c>
      <c r="U135" s="323">
        <v>26</v>
      </c>
      <c r="V135" s="323">
        <v>3</v>
      </c>
      <c r="W135" s="323">
        <v>729</v>
      </c>
      <c r="X135" s="329" t="s">
        <v>934</v>
      </c>
      <c r="Y135" s="330">
        <v>0</v>
      </c>
      <c r="Z135" s="330">
        <v>0</v>
      </c>
      <c r="AA135" s="330">
        <v>0</v>
      </c>
      <c r="AB135" s="330">
        <v>0</v>
      </c>
      <c r="AC135" s="330">
        <v>0</v>
      </c>
      <c r="AD135" s="330">
        <v>0</v>
      </c>
      <c r="AE135" s="330">
        <v>0</v>
      </c>
      <c r="AF135" s="330">
        <v>0</v>
      </c>
      <c r="AG135" s="328">
        <v>0</v>
      </c>
      <c r="AH135" s="329" t="s">
        <v>934</v>
      </c>
      <c r="AI135" s="184">
        <v>5</v>
      </c>
      <c r="AJ135" s="184">
        <v>31</v>
      </c>
      <c r="AK135" s="184">
        <v>47</v>
      </c>
      <c r="AL135" s="184">
        <v>38</v>
      </c>
      <c r="AM135" s="184">
        <v>32</v>
      </c>
      <c r="AN135" s="184">
        <v>19</v>
      </c>
      <c r="AO135" s="184">
        <v>16</v>
      </c>
      <c r="AP135" s="184">
        <v>11</v>
      </c>
      <c r="AQ135" s="336">
        <v>199</v>
      </c>
      <c r="AR135" s="323">
        <v>3</v>
      </c>
      <c r="AS135" s="323">
        <v>2073</v>
      </c>
      <c r="AT135" s="323">
        <v>2578</v>
      </c>
      <c r="AU135" s="323">
        <v>1969</v>
      </c>
      <c r="AV135" s="323">
        <v>1109</v>
      </c>
      <c r="AW135" s="323">
        <v>773</v>
      </c>
      <c r="AX135" s="323">
        <v>376</v>
      </c>
      <c r="AY135" s="323">
        <v>212</v>
      </c>
      <c r="AZ135" s="323">
        <v>23</v>
      </c>
      <c r="BA135" s="323">
        <v>9116</v>
      </c>
      <c r="BB135" s="331">
        <v>0</v>
      </c>
      <c r="BC135" s="330">
        <v>30</v>
      </c>
      <c r="BD135" s="330">
        <v>61</v>
      </c>
      <c r="BE135" s="330">
        <v>40</v>
      </c>
      <c r="BF135" s="330">
        <v>40</v>
      </c>
      <c r="BG135" s="330">
        <v>25</v>
      </c>
      <c r="BH135" s="330">
        <v>15</v>
      </c>
      <c r="BI135" s="330">
        <v>7</v>
      </c>
      <c r="BJ135" s="330">
        <v>0</v>
      </c>
      <c r="BK135" s="328">
        <v>218</v>
      </c>
      <c r="BL135" s="323">
        <v>0</v>
      </c>
      <c r="BM135" s="323">
        <v>2</v>
      </c>
      <c r="BN135" s="323">
        <v>1</v>
      </c>
      <c r="BO135" s="323">
        <v>4</v>
      </c>
      <c r="BP135" s="323">
        <v>2</v>
      </c>
      <c r="BQ135" s="323">
        <v>2</v>
      </c>
      <c r="BR135" s="323">
        <v>6</v>
      </c>
      <c r="BS135" s="323">
        <v>13</v>
      </c>
      <c r="BT135" s="323">
        <v>1</v>
      </c>
      <c r="BU135" s="323">
        <v>31</v>
      </c>
      <c r="BV135" s="329" t="s">
        <v>934</v>
      </c>
      <c r="BW135" s="330">
        <v>34</v>
      </c>
      <c r="BX135" s="330">
        <v>35</v>
      </c>
      <c r="BY135" s="330">
        <v>33</v>
      </c>
      <c r="BZ135" s="330">
        <v>25</v>
      </c>
      <c r="CA135" s="330">
        <v>20</v>
      </c>
      <c r="CB135" s="330">
        <v>11</v>
      </c>
      <c r="CC135" s="330">
        <v>15</v>
      </c>
      <c r="CD135" s="330">
        <v>5</v>
      </c>
      <c r="CE135" s="328">
        <v>178</v>
      </c>
      <c r="CF135" s="322" t="s">
        <v>934</v>
      </c>
      <c r="CG135" s="323">
        <v>63</v>
      </c>
      <c r="CH135" s="323">
        <v>45</v>
      </c>
      <c r="CI135" s="323">
        <v>39</v>
      </c>
      <c r="CJ135" s="323">
        <v>42</v>
      </c>
      <c r="CK135" s="323">
        <v>26</v>
      </c>
      <c r="CL135" s="323">
        <v>15</v>
      </c>
      <c r="CM135" s="323">
        <v>12</v>
      </c>
      <c r="CN135" s="323">
        <v>2</v>
      </c>
      <c r="CO135" s="323">
        <v>244</v>
      </c>
      <c r="CP135" s="329" t="s">
        <v>934</v>
      </c>
      <c r="CQ135" s="330">
        <v>0</v>
      </c>
      <c r="CR135" s="330">
        <v>0</v>
      </c>
      <c r="CS135" s="330">
        <v>0</v>
      </c>
      <c r="CT135" s="330">
        <v>0</v>
      </c>
      <c r="CU135" s="330">
        <v>0</v>
      </c>
      <c r="CV135" s="330">
        <v>0</v>
      </c>
      <c r="CW135" s="330">
        <v>0</v>
      </c>
      <c r="CX135" s="330">
        <v>0</v>
      </c>
      <c r="CY135" s="328">
        <v>0</v>
      </c>
      <c r="CZ135" s="322" t="s">
        <v>934</v>
      </c>
      <c r="DA135" s="323">
        <v>0</v>
      </c>
      <c r="DB135" s="323">
        <v>0</v>
      </c>
      <c r="DC135" s="323">
        <v>0</v>
      </c>
      <c r="DD135" s="323">
        <v>0</v>
      </c>
      <c r="DE135" s="323">
        <v>0</v>
      </c>
      <c r="DF135" s="323">
        <v>0</v>
      </c>
      <c r="DG135" s="323">
        <v>0</v>
      </c>
      <c r="DH135" s="323">
        <v>0</v>
      </c>
      <c r="DI135" s="323">
        <v>0</v>
      </c>
      <c r="DJ135" s="337">
        <v>0</v>
      </c>
      <c r="DK135" s="644">
        <v>31370.6</v>
      </c>
      <c r="DL135" s="614">
        <v>3983</v>
      </c>
      <c r="DM135" s="614">
        <v>7198</v>
      </c>
      <c r="DN135" s="614">
        <v>7060</v>
      </c>
      <c r="DO135" s="614">
        <v>5331</v>
      </c>
      <c r="DP135" s="614">
        <v>5287</v>
      </c>
      <c r="DQ135" s="614">
        <v>3061</v>
      </c>
      <c r="DR135" s="614">
        <v>2220</v>
      </c>
      <c r="DS135" s="615">
        <v>221</v>
      </c>
      <c r="DT135" s="607">
        <f t="shared" si="1"/>
        <v>34361</v>
      </c>
      <c r="DU135" s="342"/>
      <c r="EC135" s="646"/>
      <c r="EF135" s="127"/>
      <c r="EG135" s="124"/>
    </row>
    <row r="136" spans="1:137" ht="15">
      <c r="A136" s="22">
        <v>128</v>
      </c>
      <c r="B136" s="23" t="s">
        <v>385</v>
      </c>
      <c r="C136" s="24" t="s">
        <v>386</v>
      </c>
      <c r="D136" s="613"/>
      <c r="E136" s="626">
        <v>5126</v>
      </c>
      <c r="F136" s="626">
        <v>16214</v>
      </c>
      <c r="G136" s="626">
        <v>30579</v>
      </c>
      <c r="H136" s="626">
        <v>25280</v>
      </c>
      <c r="I136" s="626">
        <v>10827</v>
      </c>
      <c r="J136" s="626">
        <v>5403</v>
      </c>
      <c r="K136" s="626">
        <v>4615</v>
      </c>
      <c r="L136" s="626">
        <v>626</v>
      </c>
      <c r="M136" s="627">
        <v>98670</v>
      </c>
      <c r="N136" s="322"/>
      <c r="O136" s="323">
        <v>144</v>
      </c>
      <c r="P136" s="323">
        <v>517</v>
      </c>
      <c r="Q136" s="323">
        <v>741</v>
      </c>
      <c r="R136" s="323">
        <v>615</v>
      </c>
      <c r="S136" s="323">
        <v>229</v>
      </c>
      <c r="T136" s="323">
        <v>92</v>
      </c>
      <c r="U136" s="323">
        <v>70</v>
      </c>
      <c r="V136" s="323">
        <v>25</v>
      </c>
      <c r="W136" s="323">
        <v>2433</v>
      </c>
      <c r="X136" s="329" t="s">
        <v>934</v>
      </c>
      <c r="Y136" s="330">
        <v>0</v>
      </c>
      <c r="Z136" s="330">
        <v>0</v>
      </c>
      <c r="AA136" s="330">
        <v>0</v>
      </c>
      <c r="AB136" s="330">
        <v>0</v>
      </c>
      <c r="AC136" s="330">
        <v>0</v>
      </c>
      <c r="AD136" s="330">
        <v>0</v>
      </c>
      <c r="AE136" s="330">
        <v>0</v>
      </c>
      <c r="AF136" s="330">
        <v>0</v>
      </c>
      <c r="AG136" s="328">
        <v>0</v>
      </c>
      <c r="AH136" s="329" t="s">
        <v>934</v>
      </c>
      <c r="AI136" s="184">
        <v>4</v>
      </c>
      <c r="AJ136" s="184">
        <v>21</v>
      </c>
      <c r="AK136" s="184">
        <v>80</v>
      </c>
      <c r="AL136" s="184">
        <v>143</v>
      </c>
      <c r="AM136" s="184">
        <v>121</v>
      </c>
      <c r="AN136" s="184">
        <v>42</v>
      </c>
      <c r="AO136" s="184">
        <v>42</v>
      </c>
      <c r="AP136" s="184">
        <v>13</v>
      </c>
      <c r="AQ136" s="336">
        <v>466</v>
      </c>
      <c r="AR136" s="323">
        <v>3</v>
      </c>
      <c r="AS136" s="323">
        <v>2241</v>
      </c>
      <c r="AT136" s="323">
        <v>7306</v>
      </c>
      <c r="AU136" s="323">
        <v>11865</v>
      </c>
      <c r="AV136" s="323">
        <v>7419</v>
      </c>
      <c r="AW136" s="323">
        <v>2635</v>
      </c>
      <c r="AX136" s="323">
        <v>1096</v>
      </c>
      <c r="AY136" s="323">
        <v>620</v>
      </c>
      <c r="AZ136" s="323">
        <v>56</v>
      </c>
      <c r="BA136" s="323">
        <v>33241</v>
      </c>
      <c r="BB136" s="331">
        <v>0</v>
      </c>
      <c r="BC136" s="330">
        <v>16</v>
      </c>
      <c r="BD136" s="330">
        <v>49</v>
      </c>
      <c r="BE136" s="330">
        <v>223</v>
      </c>
      <c r="BF136" s="330">
        <v>156</v>
      </c>
      <c r="BG136" s="330">
        <v>67</v>
      </c>
      <c r="BH136" s="330">
        <v>17</v>
      </c>
      <c r="BI136" s="330">
        <v>7</v>
      </c>
      <c r="BJ136" s="330">
        <v>3</v>
      </c>
      <c r="BK136" s="328">
        <v>538</v>
      </c>
      <c r="BL136" s="323">
        <v>0</v>
      </c>
      <c r="BM136" s="323">
        <v>0</v>
      </c>
      <c r="BN136" s="323">
        <v>1</v>
      </c>
      <c r="BO136" s="323">
        <v>19</v>
      </c>
      <c r="BP136" s="323">
        <v>23</v>
      </c>
      <c r="BQ136" s="323">
        <v>21</v>
      </c>
      <c r="BR136" s="323">
        <v>23</v>
      </c>
      <c r="BS136" s="323">
        <v>22</v>
      </c>
      <c r="BT136" s="323">
        <v>5</v>
      </c>
      <c r="BU136" s="323">
        <v>114</v>
      </c>
      <c r="BV136" s="329" t="s">
        <v>934</v>
      </c>
      <c r="BW136" s="330">
        <v>4</v>
      </c>
      <c r="BX136" s="330">
        <v>19</v>
      </c>
      <c r="BY136" s="330">
        <v>39</v>
      </c>
      <c r="BZ136" s="330">
        <v>33</v>
      </c>
      <c r="CA136" s="330">
        <v>33</v>
      </c>
      <c r="CB136" s="330">
        <v>9</v>
      </c>
      <c r="CC136" s="330">
        <v>3</v>
      </c>
      <c r="CD136" s="330">
        <v>5</v>
      </c>
      <c r="CE136" s="328">
        <v>145</v>
      </c>
      <c r="CF136" s="322" t="s">
        <v>934</v>
      </c>
      <c r="CG136" s="323">
        <v>0</v>
      </c>
      <c r="CH136" s="323">
        <v>0</v>
      </c>
      <c r="CI136" s="323">
        <v>0</v>
      </c>
      <c r="CJ136" s="323">
        <v>0</v>
      </c>
      <c r="CK136" s="323">
        <v>0</v>
      </c>
      <c r="CL136" s="323">
        <v>0</v>
      </c>
      <c r="CM136" s="323">
        <v>0</v>
      </c>
      <c r="CN136" s="323">
        <v>0</v>
      </c>
      <c r="CO136" s="323">
        <v>0</v>
      </c>
      <c r="CP136" s="329" t="s">
        <v>934</v>
      </c>
      <c r="CQ136" s="330">
        <v>29</v>
      </c>
      <c r="CR136" s="330">
        <v>95</v>
      </c>
      <c r="CS136" s="330">
        <v>163</v>
      </c>
      <c r="CT136" s="330">
        <v>129</v>
      </c>
      <c r="CU136" s="330">
        <v>57</v>
      </c>
      <c r="CV136" s="330">
        <v>21</v>
      </c>
      <c r="CW136" s="330">
        <v>32</v>
      </c>
      <c r="CX136" s="330">
        <v>9</v>
      </c>
      <c r="CY136" s="328">
        <v>535</v>
      </c>
      <c r="CZ136" s="322" t="s">
        <v>934</v>
      </c>
      <c r="DA136" s="323">
        <v>0</v>
      </c>
      <c r="DB136" s="323">
        <v>0</v>
      </c>
      <c r="DC136" s="323">
        <v>0</v>
      </c>
      <c r="DD136" s="323">
        <v>0</v>
      </c>
      <c r="DE136" s="323">
        <v>0</v>
      </c>
      <c r="DF136" s="323">
        <v>0</v>
      </c>
      <c r="DG136" s="323">
        <v>0</v>
      </c>
      <c r="DH136" s="323">
        <v>0</v>
      </c>
      <c r="DI136" s="323">
        <v>0</v>
      </c>
      <c r="DJ136" s="337">
        <v>0</v>
      </c>
      <c r="DK136" s="644">
        <v>87987.2</v>
      </c>
      <c r="DL136" s="614">
        <v>5379</v>
      </c>
      <c r="DM136" s="614">
        <v>16534</v>
      </c>
      <c r="DN136" s="614">
        <v>30851</v>
      </c>
      <c r="DO136" s="614">
        <v>25436</v>
      </c>
      <c r="DP136" s="614">
        <v>10869</v>
      </c>
      <c r="DQ136" s="614">
        <v>5399</v>
      </c>
      <c r="DR136" s="614">
        <v>4612</v>
      </c>
      <c r="DS136" s="615">
        <v>633</v>
      </c>
      <c r="DT136" s="607">
        <f t="shared" si="1"/>
        <v>99713</v>
      </c>
      <c r="DU136" s="342"/>
      <c r="EC136" s="646"/>
      <c r="EF136" s="123"/>
      <c r="EG136" s="124"/>
    </row>
    <row r="137" spans="1:137" ht="15">
      <c r="A137" s="22">
        <v>129</v>
      </c>
      <c r="B137" s="23" t="s">
        <v>387</v>
      </c>
      <c r="C137" s="24" t="s">
        <v>388</v>
      </c>
      <c r="D137" s="613"/>
      <c r="E137" s="628">
        <v>2179</v>
      </c>
      <c r="F137" s="628">
        <v>7414</v>
      </c>
      <c r="G137" s="628">
        <v>18156</v>
      </c>
      <c r="H137" s="628">
        <v>3941</v>
      </c>
      <c r="I137" s="628">
        <v>1965</v>
      </c>
      <c r="J137" s="628">
        <v>797</v>
      </c>
      <c r="K137" s="628">
        <v>400</v>
      </c>
      <c r="L137" s="628">
        <v>12</v>
      </c>
      <c r="M137" s="627">
        <v>34864</v>
      </c>
      <c r="N137" s="322"/>
      <c r="O137" s="323">
        <v>125</v>
      </c>
      <c r="P137" s="323">
        <v>231</v>
      </c>
      <c r="Q137" s="323">
        <v>233</v>
      </c>
      <c r="R137" s="323">
        <v>43</v>
      </c>
      <c r="S137" s="323">
        <v>22</v>
      </c>
      <c r="T137" s="323">
        <v>3</v>
      </c>
      <c r="U137" s="323">
        <v>8</v>
      </c>
      <c r="V137" s="323">
        <v>1</v>
      </c>
      <c r="W137" s="323">
        <v>666</v>
      </c>
      <c r="X137" s="329" t="s">
        <v>934</v>
      </c>
      <c r="Y137" s="330">
        <v>0</v>
      </c>
      <c r="Z137" s="330">
        <v>0</v>
      </c>
      <c r="AA137" s="330">
        <v>0</v>
      </c>
      <c r="AB137" s="330">
        <v>0</v>
      </c>
      <c r="AC137" s="330">
        <v>0</v>
      </c>
      <c r="AD137" s="330">
        <v>0</v>
      </c>
      <c r="AE137" s="330">
        <v>0</v>
      </c>
      <c r="AF137" s="330">
        <v>0</v>
      </c>
      <c r="AG137" s="328">
        <v>0</v>
      </c>
      <c r="AH137" s="329" t="s">
        <v>934</v>
      </c>
      <c r="AI137" s="184">
        <v>1</v>
      </c>
      <c r="AJ137" s="184">
        <v>18</v>
      </c>
      <c r="AK137" s="184">
        <v>80</v>
      </c>
      <c r="AL137" s="184">
        <v>17</v>
      </c>
      <c r="AM137" s="184">
        <v>12</v>
      </c>
      <c r="AN137" s="184">
        <v>9</v>
      </c>
      <c r="AO137" s="184">
        <v>4</v>
      </c>
      <c r="AP137" s="184">
        <v>0</v>
      </c>
      <c r="AQ137" s="336">
        <v>141</v>
      </c>
      <c r="AR137" s="323">
        <v>1</v>
      </c>
      <c r="AS137" s="323">
        <v>1477</v>
      </c>
      <c r="AT137" s="323">
        <v>4447</v>
      </c>
      <c r="AU137" s="323">
        <v>5917</v>
      </c>
      <c r="AV137" s="323">
        <v>991</v>
      </c>
      <c r="AW137" s="323">
        <v>333</v>
      </c>
      <c r="AX137" s="323">
        <v>111</v>
      </c>
      <c r="AY137" s="323">
        <v>49</v>
      </c>
      <c r="AZ137" s="323">
        <v>1</v>
      </c>
      <c r="BA137" s="323">
        <v>13327</v>
      </c>
      <c r="BB137" s="331">
        <v>0</v>
      </c>
      <c r="BC137" s="330">
        <v>9</v>
      </c>
      <c r="BD137" s="330">
        <v>34</v>
      </c>
      <c r="BE137" s="330">
        <v>119</v>
      </c>
      <c r="BF137" s="330">
        <v>23</v>
      </c>
      <c r="BG137" s="330">
        <v>12</v>
      </c>
      <c r="BH137" s="330">
        <v>1</v>
      </c>
      <c r="BI137" s="330">
        <v>1</v>
      </c>
      <c r="BJ137" s="330">
        <v>0</v>
      </c>
      <c r="BK137" s="328">
        <v>199</v>
      </c>
      <c r="BL137" s="323">
        <v>0</v>
      </c>
      <c r="BM137" s="323">
        <v>0</v>
      </c>
      <c r="BN137" s="323">
        <v>5</v>
      </c>
      <c r="BO137" s="323">
        <v>14</v>
      </c>
      <c r="BP137" s="323">
        <v>3</v>
      </c>
      <c r="BQ137" s="323">
        <v>2</v>
      </c>
      <c r="BR137" s="323">
        <v>1</v>
      </c>
      <c r="BS137" s="323">
        <v>4</v>
      </c>
      <c r="BT137" s="323">
        <v>1</v>
      </c>
      <c r="BU137" s="323">
        <v>30</v>
      </c>
      <c r="BV137" s="329" t="s">
        <v>934</v>
      </c>
      <c r="BW137" s="330">
        <v>10</v>
      </c>
      <c r="BX137" s="330">
        <v>41</v>
      </c>
      <c r="BY137" s="330">
        <v>46</v>
      </c>
      <c r="BZ137" s="330">
        <v>11</v>
      </c>
      <c r="CA137" s="330">
        <v>2</v>
      </c>
      <c r="CB137" s="330">
        <v>4</v>
      </c>
      <c r="CC137" s="330">
        <v>2</v>
      </c>
      <c r="CD137" s="330">
        <v>0</v>
      </c>
      <c r="CE137" s="328">
        <v>116</v>
      </c>
      <c r="CF137" s="322" t="s">
        <v>934</v>
      </c>
      <c r="CG137" s="323">
        <v>0</v>
      </c>
      <c r="CH137" s="323">
        <v>0</v>
      </c>
      <c r="CI137" s="323">
        <v>0</v>
      </c>
      <c r="CJ137" s="323">
        <v>0</v>
      </c>
      <c r="CK137" s="323">
        <v>0</v>
      </c>
      <c r="CL137" s="323">
        <v>0</v>
      </c>
      <c r="CM137" s="323">
        <v>0</v>
      </c>
      <c r="CN137" s="323">
        <v>0</v>
      </c>
      <c r="CO137" s="323">
        <v>0</v>
      </c>
      <c r="CP137" s="329" t="s">
        <v>934</v>
      </c>
      <c r="CQ137" s="330">
        <v>23</v>
      </c>
      <c r="CR137" s="330">
        <v>57</v>
      </c>
      <c r="CS137" s="330">
        <v>49</v>
      </c>
      <c r="CT137" s="330">
        <v>12</v>
      </c>
      <c r="CU137" s="330">
        <v>10</v>
      </c>
      <c r="CV137" s="330">
        <v>6</v>
      </c>
      <c r="CW137" s="330">
        <v>6</v>
      </c>
      <c r="CX137" s="330">
        <v>0</v>
      </c>
      <c r="CY137" s="328">
        <v>163</v>
      </c>
      <c r="CZ137" s="322" t="s">
        <v>934</v>
      </c>
      <c r="DA137" s="323">
        <v>0</v>
      </c>
      <c r="DB137" s="323">
        <v>0</v>
      </c>
      <c r="DC137" s="323">
        <v>0</v>
      </c>
      <c r="DD137" s="323">
        <v>0</v>
      </c>
      <c r="DE137" s="323">
        <v>0</v>
      </c>
      <c r="DF137" s="323">
        <v>0</v>
      </c>
      <c r="DG137" s="323">
        <v>0</v>
      </c>
      <c r="DH137" s="323">
        <v>0</v>
      </c>
      <c r="DI137" s="323">
        <v>0</v>
      </c>
      <c r="DJ137" s="337">
        <v>0</v>
      </c>
      <c r="DK137" s="644">
        <v>28016.2</v>
      </c>
      <c r="DL137" s="614">
        <v>2177</v>
      </c>
      <c r="DM137" s="614">
        <v>7426</v>
      </c>
      <c r="DN137" s="614">
        <v>18257</v>
      </c>
      <c r="DO137" s="614">
        <v>3971</v>
      </c>
      <c r="DP137" s="614">
        <v>1994</v>
      </c>
      <c r="DQ137" s="614">
        <v>811</v>
      </c>
      <c r="DR137" s="614">
        <v>377</v>
      </c>
      <c r="DS137" s="615">
        <v>13</v>
      </c>
      <c r="DT137" s="607">
        <f aca="true" t="shared" si="2" ref="DT137:DT200">SUM(DL137:DS137)</f>
        <v>35026</v>
      </c>
      <c r="DU137" s="342"/>
      <c r="EC137" s="646"/>
      <c r="EF137" s="123"/>
      <c r="EG137" s="124"/>
    </row>
    <row r="138" spans="1:137" ht="15">
      <c r="A138" s="22">
        <v>130</v>
      </c>
      <c r="B138" s="23" t="s">
        <v>389</v>
      </c>
      <c r="C138" s="24" t="s">
        <v>390</v>
      </c>
      <c r="D138" s="613"/>
      <c r="E138" s="626">
        <v>7581</v>
      </c>
      <c r="F138" s="626">
        <v>13083</v>
      </c>
      <c r="G138" s="626">
        <v>16473</v>
      </c>
      <c r="H138" s="626">
        <v>10250</v>
      </c>
      <c r="I138" s="626">
        <v>9064</v>
      </c>
      <c r="J138" s="626">
        <v>5995</v>
      </c>
      <c r="K138" s="626">
        <v>5325</v>
      </c>
      <c r="L138" s="626">
        <v>572</v>
      </c>
      <c r="M138" s="627">
        <v>68343</v>
      </c>
      <c r="N138" s="322"/>
      <c r="O138" s="323">
        <v>405</v>
      </c>
      <c r="P138" s="323">
        <v>694</v>
      </c>
      <c r="Q138" s="323">
        <v>804</v>
      </c>
      <c r="R138" s="323">
        <v>528</v>
      </c>
      <c r="S138" s="323">
        <v>542</v>
      </c>
      <c r="T138" s="323">
        <v>267</v>
      </c>
      <c r="U138" s="323">
        <v>240</v>
      </c>
      <c r="V138" s="323">
        <v>22</v>
      </c>
      <c r="W138" s="323">
        <v>3502</v>
      </c>
      <c r="X138" s="329" t="s">
        <v>934</v>
      </c>
      <c r="Y138" s="330">
        <v>4</v>
      </c>
      <c r="Z138" s="330">
        <v>6</v>
      </c>
      <c r="AA138" s="330">
        <v>3</v>
      </c>
      <c r="AB138" s="330">
        <v>4</v>
      </c>
      <c r="AC138" s="330">
        <v>6</v>
      </c>
      <c r="AD138" s="330">
        <v>3</v>
      </c>
      <c r="AE138" s="330">
        <v>4</v>
      </c>
      <c r="AF138" s="330">
        <v>2</v>
      </c>
      <c r="AG138" s="328">
        <v>32</v>
      </c>
      <c r="AH138" s="329" t="s">
        <v>934</v>
      </c>
      <c r="AI138" s="184">
        <v>23</v>
      </c>
      <c r="AJ138" s="184">
        <v>32</v>
      </c>
      <c r="AK138" s="184">
        <v>74</v>
      </c>
      <c r="AL138" s="184">
        <v>57</v>
      </c>
      <c r="AM138" s="184">
        <v>73</v>
      </c>
      <c r="AN138" s="184">
        <v>44</v>
      </c>
      <c r="AO138" s="184">
        <v>60</v>
      </c>
      <c r="AP138" s="184">
        <v>37</v>
      </c>
      <c r="AQ138" s="336">
        <v>400</v>
      </c>
      <c r="AR138" s="323">
        <v>9</v>
      </c>
      <c r="AS138" s="323">
        <v>4086</v>
      </c>
      <c r="AT138" s="323">
        <v>5039</v>
      </c>
      <c r="AU138" s="323">
        <v>5181</v>
      </c>
      <c r="AV138" s="323">
        <v>2630</v>
      </c>
      <c r="AW138" s="323">
        <v>1838</v>
      </c>
      <c r="AX138" s="323">
        <v>939</v>
      </c>
      <c r="AY138" s="323">
        <v>622</v>
      </c>
      <c r="AZ138" s="323">
        <v>45</v>
      </c>
      <c r="BA138" s="323">
        <v>20389</v>
      </c>
      <c r="BB138" s="331">
        <v>0</v>
      </c>
      <c r="BC138" s="330">
        <v>27</v>
      </c>
      <c r="BD138" s="330">
        <v>64</v>
      </c>
      <c r="BE138" s="330">
        <v>110</v>
      </c>
      <c r="BF138" s="330">
        <v>60</v>
      </c>
      <c r="BG138" s="330">
        <v>37</v>
      </c>
      <c r="BH138" s="330">
        <v>22</v>
      </c>
      <c r="BI138" s="330">
        <v>11</v>
      </c>
      <c r="BJ138" s="330">
        <v>0</v>
      </c>
      <c r="BK138" s="328">
        <v>331</v>
      </c>
      <c r="BL138" s="323">
        <v>0</v>
      </c>
      <c r="BM138" s="323">
        <v>4</v>
      </c>
      <c r="BN138" s="323">
        <v>7</v>
      </c>
      <c r="BO138" s="323">
        <v>11</v>
      </c>
      <c r="BP138" s="323">
        <v>5</v>
      </c>
      <c r="BQ138" s="323">
        <v>16</v>
      </c>
      <c r="BR138" s="323">
        <v>28</v>
      </c>
      <c r="BS138" s="323">
        <v>37</v>
      </c>
      <c r="BT138" s="323">
        <v>6</v>
      </c>
      <c r="BU138" s="323">
        <v>114</v>
      </c>
      <c r="BV138" s="329" t="s">
        <v>934</v>
      </c>
      <c r="BW138" s="330">
        <v>64</v>
      </c>
      <c r="BX138" s="330">
        <v>97</v>
      </c>
      <c r="BY138" s="330">
        <v>138</v>
      </c>
      <c r="BZ138" s="330">
        <v>104</v>
      </c>
      <c r="CA138" s="330">
        <v>93</v>
      </c>
      <c r="CB138" s="330">
        <v>46</v>
      </c>
      <c r="CC138" s="330">
        <v>44</v>
      </c>
      <c r="CD138" s="330">
        <v>4</v>
      </c>
      <c r="CE138" s="328">
        <v>590</v>
      </c>
      <c r="CF138" s="322" t="s">
        <v>934</v>
      </c>
      <c r="CG138" s="323">
        <v>0</v>
      </c>
      <c r="CH138" s="323">
        <v>0</v>
      </c>
      <c r="CI138" s="323">
        <v>0</v>
      </c>
      <c r="CJ138" s="323">
        <v>0</v>
      </c>
      <c r="CK138" s="323">
        <v>0</v>
      </c>
      <c r="CL138" s="323">
        <v>0</v>
      </c>
      <c r="CM138" s="323">
        <v>0</v>
      </c>
      <c r="CN138" s="323">
        <v>0</v>
      </c>
      <c r="CO138" s="323">
        <v>0</v>
      </c>
      <c r="CP138" s="329" t="s">
        <v>934</v>
      </c>
      <c r="CQ138" s="330">
        <v>169</v>
      </c>
      <c r="CR138" s="330">
        <v>162</v>
      </c>
      <c r="CS138" s="330">
        <v>179</v>
      </c>
      <c r="CT138" s="330">
        <v>120</v>
      </c>
      <c r="CU138" s="330">
        <v>93</v>
      </c>
      <c r="CV138" s="330">
        <v>51</v>
      </c>
      <c r="CW138" s="330">
        <v>47</v>
      </c>
      <c r="CX138" s="330">
        <v>6</v>
      </c>
      <c r="CY138" s="328">
        <v>827</v>
      </c>
      <c r="CZ138" s="322" t="s">
        <v>934</v>
      </c>
      <c r="DA138" s="323">
        <v>0</v>
      </c>
      <c r="DB138" s="323">
        <v>0</v>
      </c>
      <c r="DC138" s="323">
        <v>0</v>
      </c>
      <c r="DD138" s="323">
        <v>0</v>
      </c>
      <c r="DE138" s="323">
        <v>0</v>
      </c>
      <c r="DF138" s="323">
        <v>0</v>
      </c>
      <c r="DG138" s="323">
        <v>0</v>
      </c>
      <c r="DH138" s="323">
        <v>0</v>
      </c>
      <c r="DI138" s="323">
        <v>0</v>
      </c>
      <c r="DJ138" s="337">
        <v>473.6</v>
      </c>
      <c r="DK138" s="644">
        <v>61584.6</v>
      </c>
      <c r="DL138" s="614">
        <v>7687</v>
      </c>
      <c r="DM138" s="614">
        <v>13165</v>
      </c>
      <c r="DN138" s="614">
        <v>16510</v>
      </c>
      <c r="DO138" s="614">
        <v>10299</v>
      </c>
      <c r="DP138" s="614">
        <v>9083</v>
      </c>
      <c r="DQ138" s="614">
        <v>6053</v>
      </c>
      <c r="DR138" s="614">
        <v>5364</v>
      </c>
      <c r="DS138" s="615">
        <v>578</v>
      </c>
      <c r="DT138" s="607">
        <f t="shared" si="2"/>
        <v>68739</v>
      </c>
      <c r="DU138" s="342"/>
      <c r="EC138" s="646"/>
      <c r="EF138" s="123"/>
      <c r="EG138" s="124"/>
    </row>
    <row r="139" spans="1:137" ht="15">
      <c r="A139" s="22">
        <v>131</v>
      </c>
      <c r="B139" s="23" t="s">
        <v>391</v>
      </c>
      <c r="C139" s="24" t="s">
        <v>392</v>
      </c>
      <c r="D139" s="613"/>
      <c r="E139" s="626">
        <v>265</v>
      </c>
      <c r="F139" s="626">
        <v>3094</v>
      </c>
      <c r="G139" s="626">
        <v>17382</v>
      </c>
      <c r="H139" s="626">
        <v>26977</v>
      </c>
      <c r="I139" s="626">
        <v>21606</v>
      </c>
      <c r="J139" s="626">
        <v>7485</v>
      </c>
      <c r="K139" s="626">
        <v>5945</v>
      </c>
      <c r="L139" s="626">
        <v>1087</v>
      </c>
      <c r="M139" s="627">
        <v>83841</v>
      </c>
      <c r="N139" s="322"/>
      <c r="O139" s="323">
        <v>14</v>
      </c>
      <c r="P139" s="323">
        <v>123</v>
      </c>
      <c r="Q139" s="323">
        <v>494</v>
      </c>
      <c r="R139" s="323">
        <v>399</v>
      </c>
      <c r="S139" s="323">
        <v>244</v>
      </c>
      <c r="T139" s="323">
        <v>106</v>
      </c>
      <c r="U139" s="323">
        <v>102</v>
      </c>
      <c r="V139" s="323">
        <v>22</v>
      </c>
      <c r="W139" s="323">
        <v>1504</v>
      </c>
      <c r="X139" s="329" t="s">
        <v>934</v>
      </c>
      <c r="Y139" s="330">
        <v>0</v>
      </c>
      <c r="Z139" s="330">
        <v>1</v>
      </c>
      <c r="AA139" s="330">
        <v>31</v>
      </c>
      <c r="AB139" s="330">
        <v>15</v>
      </c>
      <c r="AC139" s="330">
        <v>27</v>
      </c>
      <c r="AD139" s="330">
        <v>9</v>
      </c>
      <c r="AE139" s="330">
        <v>11</v>
      </c>
      <c r="AF139" s="330">
        <v>4</v>
      </c>
      <c r="AG139" s="328">
        <v>98</v>
      </c>
      <c r="AH139" s="329" t="s">
        <v>934</v>
      </c>
      <c r="AI139" s="184">
        <v>0</v>
      </c>
      <c r="AJ139" s="184">
        <v>2</v>
      </c>
      <c r="AK139" s="184">
        <v>35</v>
      </c>
      <c r="AL139" s="184">
        <v>193</v>
      </c>
      <c r="AM139" s="184">
        <v>236</v>
      </c>
      <c r="AN139" s="184">
        <v>125</v>
      </c>
      <c r="AO139" s="184">
        <v>67</v>
      </c>
      <c r="AP139" s="184">
        <v>18</v>
      </c>
      <c r="AQ139" s="336">
        <v>676</v>
      </c>
      <c r="AR139" s="323">
        <v>0</v>
      </c>
      <c r="AS139" s="323">
        <v>164</v>
      </c>
      <c r="AT139" s="323">
        <v>1962</v>
      </c>
      <c r="AU139" s="323">
        <v>7929</v>
      </c>
      <c r="AV139" s="323">
        <v>7038</v>
      </c>
      <c r="AW139" s="323">
        <v>4497</v>
      </c>
      <c r="AX139" s="323">
        <v>1327</v>
      </c>
      <c r="AY139" s="323">
        <v>745</v>
      </c>
      <c r="AZ139" s="323">
        <v>89</v>
      </c>
      <c r="BA139" s="323">
        <v>23751</v>
      </c>
      <c r="BB139" s="331">
        <v>0</v>
      </c>
      <c r="BC139" s="330">
        <v>1</v>
      </c>
      <c r="BD139" s="330">
        <v>16</v>
      </c>
      <c r="BE139" s="330">
        <v>99</v>
      </c>
      <c r="BF139" s="330">
        <v>161</v>
      </c>
      <c r="BG139" s="330">
        <v>120</v>
      </c>
      <c r="BH139" s="330">
        <v>35</v>
      </c>
      <c r="BI139" s="330">
        <v>28</v>
      </c>
      <c r="BJ139" s="330">
        <v>6</v>
      </c>
      <c r="BK139" s="328">
        <v>466</v>
      </c>
      <c r="BL139" s="323">
        <v>0</v>
      </c>
      <c r="BM139" s="323">
        <v>0</v>
      </c>
      <c r="BN139" s="323">
        <v>0</v>
      </c>
      <c r="BO139" s="323">
        <v>3</v>
      </c>
      <c r="BP139" s="323">
        <v>5</v>
      </c>
      <c r="BQ139" s="323">
        <v>7</v>
      </c>
      <c r="BR139" s="323">
        <v>7</v>
      </c>
      <c r="BS139" s="323">
        <v>20</v>
      </c>
      <c r="BT139" s="323">
        <v>7</v>
      </c>
      <c r="BU139" s="323">
        <v>49</v>
      </c>
      <c r="BV139" s="329" t="s">
        <v>934</v>
      </c>
      <c r="BW139" s="330">
        <v>1</v>
      </c>
      <c r="BX139" s="330">
        <v>37</v>
      </c>
      <c r="BY139" s="330">
        <v>218</v>
      </c>
      <c r="BZ139" s="330">
        <v>161</v>
      </c>
      <c r="CA139" s="330">
        <v>108</v>
      </c>
      <c r="CB139" s="330">
        <v>49</v>
      </c>
      <c r="CC139" s="330">
        <v>30</v>
      </c>
      <c r="CD139" s="330">
        <v>5</v>
      </c>
      <c r="CE139" s="328">
        <v>609</v>
      </c>
      <c r="CF139" s="322" t="s">
        <v>934</v>
      </c>
      <c r="CG139" s="323">
        <v>0</v>
      </c>
      <c r="CH139" s="323">
        <v>2</v>
      </c>
      <c r="CI139" s="323">
        <v>9</v>
      </c>
      <c r="CJ139" s="323">
        <v>0</v>
      </c>
      <c r="CK139" s="323">
        <v>3</v>
      </c>
      <c r="CL139" s="323">
        <v>0</v>
      </c>
      <c r="CM139" s="323">
        <v>0</v>
      </c>
      <c r="CN139" s="323">
        <v>1</v>
      </c>
      <c r="CO139" s="323">
        <v>15</v>
      </c>
      <c r="CP139" s="329" t="s">
        <v>934</v>
      </c>
      <c r="CQ139" s="330">
        <v>1</v>
      </c>
      <c r="CR139" s="330">
        <v>14</v>
      </c>
      <c r="CS139" s="330">
        <v>96</v>
      </c>
      <c r="CT139" s="330">
        <v>92</v>
      </c>
      <c r="CU139" s="330">
        <v>72</v>
      </c>
      <c r="CV139" s="330">
        <v>26</v>
      </c>
      <c r="CW139" s="330">
        <v>46</v>
      </c>
      <c r="CX139" s="330">
        <v>8</v>
      </c>
      <c r="CY139" s="328">
        <v>355</v>
      </c>
      <c r="CZ139" s="322" t="s">
        <v>934</v>
      </c>
      <c r="DA139" s="323">
        <v>0</v>
      </c>
      <c r="DB139" s="323">
        <v>0</v>
      </c>
      <c r="DC139" s="323">
        <v>0</v>
      </c>
      <c r="DD139" s="323">
        <v>0</v>
      </c>
      <c r="DE139" s="323">
        <v>0</v>
      </c>
      <c r="DF139" s="323">
        <v>0</v>
      </c>
      <c r="DG139" s="323">
        <v>0</v>
      </c>
      <c r="DH139" s="323">
        <v>0</v>
      </c>
      <c r="DI139" s="323">
        <v>0</v>
      </c>
      <c r="DJ139" s="337">
        <v>0</v>
      </c>
      <c r="DK139" s="644">
        <v>86003.8</v>
      </c>
      <c r="DL139" s="614">
        <v>278</v>
      </c>
      <c r="DM139" s="614">
        <v>3157</v>
      </c>
      <c r="DN139" s="614">
        <v>17627</v>
      </c>
      <c r="DO139" s="614">
        <v>26952</v>
      </c>
      <c r="DP139" s="614">
        <v>21624</v>
      </c>
      <c r="DQ139" s="614">
        <v>7572</v>
      </c>
      <c r="DR139" s="614">
        <v>6013</v>
      </c>
      <c r="DS139" s="615">
        <v>1118</v>
      </c>
      <c r="DT139" s="607">
        <f t="shared" si="2"/>
        <v>84341</v>
      </c>
      <c r="DU139" s="342"/>
      <c r="EC139" s="646"/>
      <c r="EF139" s="123"/>
      <c r="EG139" s="124"/>
    </row>
    <row r="140" spans="1:137" ht="15">
      <c r="A140" s="22">
        <v>132</v>
      </c>
      <c r="B140" s="23" t="s">
        <v>393</v>
      </c>
      <c r="C140" s="24" t="s">
        <v>394</v>
      </c>
      <c r="D140" s="613"/>
      <c r="E140" s="628">
        <v>680</v>
      </c>
      <c r="F140" s="628">
        <v>1757</v>
      </c>
      <c r="G140" s="628">
        <v>8123</v>
      </c>
      <c r="H140" s="628">
        <v>7995</v>
      </c>
      <c r="I140" s="628">
        <v>7234</v>
      </c>
      <c r="J140" s="628">
        <v>6219</v>
      </c>
      <c r="K140" s="628">
        <v>3499</v>
      </c>
      <c r="L140" s="628">
        <v>219</v>
      </c>
      <c r="M140" s="627">
        <v>35726</v>
      </c>
      <c r="N140" s="322"/>
      <c r="O140" s="323">
        <v>67</v>
      </c>
      <c r="P140" s="323">
        <v>105</v>
      </c>
      <c r="Q140" s="323">
        <v>844</v>
      </c>
      <c r="R140" s="323">
        <v>210</v>
      </c>
      <c r="S140" s="323">
        <v>128</v>
      </c>
      <c r="T140" s="323">
        <v>57</v>
      </c>
      <c r="U140" s="323">
        <v>48</v>
      </c>
      <c r="V140" s="323">
        <v>8</v>
      </c>
      <c r="W140" s="323">
        <v>1467</v>
      </c>
      <c r="X140" s="331">
        <v>0</v>
      </c>
      <c r="Y140" s="330">
        <v>0</v>
      </c>
      <c r="Z140" s="330">
        <v>0</v>
      </c>
      <c r="AA140" s="330">
        <v>0</v>
      </c>
      <c r="AB140" s="330">
        <v>0</v>
      </c>
      <c r="AC140" s="330">
        <v>0</v>
      </c>
      <c r="AD140" s="330">
        <v>0</v>
      </c>
      <c r="AE140" s="330">
        <v>0</v>
      </c>
      <c r="AF140" s="330">
        <v>0</v>
      </c>
      <c r="AG140" s="328">
        <v>0</v>
      </c>
      <c r="AH140" s="331">
        <v>0</v>
      </c>
      <c r="AI140" s="184">
        <v>1</v>
      </c>
      <c r="AJ140" s="184">
        <v>8</v>
      </c>
      <c r="AK140" s="184">
        <v>43</v>
      </c>
      <c r="AL140" s="184">
        <v>37</v>
      </c>
      <c r="AM140" s="184">
        <v>46</v>
      </c>
      <c r="AN140" s="184">
        <v>32</v>
      </c>
      <c r="AO140" s="184">
        <v>18</v>
      </c>
      <c r="AP140" s="184">
        <v>0</v>
      </c>
      <c r="AQ140" s="336">
        <v>185</v>
      </c>
      <c r="AR140" s="323">
        <v>1</v>
      </c>
      <c r="AS140" s="323">
        <v>367</v>
      </c>
      <c r="AT140" s="323">
        <v>1043</v>
      </c>
      <c r="AU140" s="323">
        <v>2860</v>
      </c>
      <c r="AV140" s="323">
        <v>2339</v>
      </c>
      <c r="AW140" s="323">
        <v>1476</v>
      </c>
      <c r="AX140" s="323">
        <v>822</v>
      </c>
      <c r="AY140" s="323">
        <v>384</v>
      </c>
      <c r="AZ140" s="323">
        <v>17</v>
      </c>
      <c r="BA140" s="323">
        <v>9309</v>
      </c>
      <c r="BB140" s="331">
        <v>0</v>
      </c>
      <c r="BC140" s="330">
        <v>1</v>
      </c>
      <c r="BD140" s="330">
        <v>6</v>
      </c>
      <c r="BE140" s="330">
        <v>38</v>
      </c>
      <c r="BF140" s="330">
        <v>41</v>
      </c>
      <c r="BG140" s="330">
        <v>35</v>
      </c>
      <c r="BH140" s="330">
        <v>21</v>
      </c>
      <c r="BI140" s="330">
        <v>18</v>
      </c>
      <c r="BJ140" s="330">
        <v>0</v>
      </c>
      <c r="BK140" s="328">
        <v>160</v>
      </c>
      <c r="BL140" s="323">
        <v>0</v>
      </c>
      <c r="BM140" s="323">
        <v>0</v>
      </c>
      <c r="BN140" s="323">
        <v>2</v>
      </c>
      <c r="BO140" s="323">
        <v>2</v>
      </c>
      <c r="BP140" s="323">
        <v>5</v>
      </c>
      <c r="BQ140" s="323">
        <v>3</v>
      </c>
      <c r="BR140" s="323">
        <v>3</v>
      </c>
      <c r="BS140" s="323">
        <v>6</v>
      </c>
      <c r="BT140" s="323">
        <v>5</v>
      </c>
      <c r="BU140" s="323">
        <v>26</v>
      </c>
      <c r="BV140" s="331">
        <v>0</v>
      </c>
      <c r="BW140" s="330">
        <v>0</v>
      </c>
      <c r="BX140" s="330">
        <v>2</v>
      </c>
      <c r="BY140" s="330">
        <v>1</v>
      </c>
      <c r="BZ140" s="330">
        <v>1</v>
      </c>
      <c r="CA140" s="330">
        <v>1</v>
      </c>
      <c r="CB140" s="330">
        <v>0</v>
      </c>
      <c r="CC140" s="330">
        <v>0</v>
      </c>
      <c r="CD140" s="330">
        <v>0</v>
      </c>
      <c r="CE140" s="328">
        <v>5</v>
      </c>
      <c r="CF140" s="323">
        <v>0</v>
      </c>
      <c r="CG140" s="323">
        <v>75</v>
      </c>
      <c r="CH140" s="323">
        <v>76</v>
      </c>
      <c r="CI140" s="323">
        <v>139</v>
      </c>
      <c r="CJ140" s="323">
        <v>108</v>
      </c>
      <c r="CK140" s="323">
        <v>80</v>
      </c>
      <c r="CL140" s="323">
        <v>46</v>
      </c>
      <c r="CM140" s="323">
        <v>43</v>
      </c>
      <c r="CN140" s="323">
        <v>8</v>
      </c>
      <c r="CO140" s="323">
        <v>575</v>
      </c>
      <c r="CP140" s="331">
        <v>0</v>
      </c>
      <c r="CQ140" s="330">
        <v>0</v>
      </c>
      <c r="CR140" s="330">
        <v>0</v>
      </c>
      <c r="CS140" s="330">
        <v>0</v>
      </c>
      <c r="CT140" s="330">
        <v>0</v>
      </c>
      <c r="CU140" s="330">
        <v>0</v>
      </c>
      <c r="CV140" s="330">
        <v>0</v>
      </c>
      <c r="CW140" s="330">
        <v>0</v>
      </c>
      <c r="CX140" s="330">
        <v>0</v>
      </c>
      <c r="CY140" s="328">
        <v>0</v>
      </c>
      <c r="CZ140" s="323">
        <v>0</v>
      </c>
      <c r="DA140" s="323">
        <v>0</v>
      </c>
      <c r="DB140" s="323">
        <v>0</v>
      </c>
      <c r="DC140" s="323">
        <v>0</v>
      </c>
      <c r="DD140" s="323">
        <v>0</v>
      </c>
      <c r="DE140" s="323">
        <v>0</v>
      </c>
      <c r="DF140" s="323">
        <v>0</v>
      </c>
      <c r="DG140" s="323">
        <v>0</v>
      </c>
      <c r="DH140" s="323">
        <v>0</v>
      </c>
      <c r="DI140" s="323">
        <v>0</v>
      </c>
      <c r="DJ140" s="337">
        <v>798</v>
      </c>
      <c r="DK140" s="644">
        <v>37710.5</v>
      </c>
      <c r="DL140" s="614">
        <v>683</v>
      </c>
      <c r="DM140" s="614">
        <v>1789</v>
      </c>
      <c r="DN140" s="614">
        <v>8298</v>
      </c>
      <c r="DO140" s="614">
        <v>8097</v>
      </c>
      <c r="DP140" s="614">
        <v>7265</v>
      </c>
      <c r="DQ140" s="614">
        <v>6307</v>
      </c>
      <c r="DR140" s="614">
        <v>3492</v>
      </c>
      <c r="DS140" s="615">
        <v>220</v>
      </c>
      <c r="DT140" s="607">
        <f t="shared" si="2"/>
        <v>36151</v>
      </c>
      <c r="DU140" s="342"/>
      <c r="EC140" s="646"/>
      <c r="EF140" s="123"/>
      <c r="EG140" s="124"/>
    </row>
    <row r="141" spans="1:137" ht="15">
      <c r="A141" s="22">
        <v>133</v>
      </c>
      <c r="B141" s="23" t="s">
        <v>395</v>
      </c>
      <c r="C141" s="24" t="s">
        <v>396</v>
      </c>
      <c r="D141" s="613"/>
      <c r="E141" s="629">
        <v>24927</v>
      </c>
      <c r="F141" s="629">
        <v>5966</v>
      </c>
      <c r="G141" s="629">
        <v>5363</v>
      </c>
      <c r="H141" s="629">
        <v>2794</v>
      </c>
      <c r="I141" s="629">
        <v>1373</v>
      </c>
      <c r="J141" s="629">
        <v>557</v>
      </c>
      <c r="K141" s="629">
        <v>380</v>
      </c>
      <c r="L141" s="629">
        <v>37</v>
      </c>
      <c r="M141" s="627">
        <v>41397</v>
      </c>
      <c r="N141" s="322"/>
      <c r="O141" s="323">
        <v>1136</v>
      </c>
      <c r="P141" s="323">
        <v>123</v>
      </c>
      <c r="Q141" s="323">
        <v>78</v>
      </c>
      <c r="R141" s="323">
        <v>36</v>
      </c>
      <c r="S141" s="323">
        <v>24</v>
      </c>
      <c r="T141" s="323">
        <v>13</v>
      </c>
      <c r="U141" s="323">
        <v>9</v>
      </c>
      <c r="V141" s="323">
        <v>0</v>
      </c>
      <c r="W141" s="323">
        <v>1419</v>
      </c>
      <c r="X141" s="329" t="s">
        <v>934</v>
      </c>
      <c r="Y141" s="330">
        <v>2</v>
      </c>
      <c r="Z141" s="330">
        <v>0</v>
      </c>
      <c r="AA141" s="330">
        <v>0</v>
      </c>
      <c r="AB141" s="330">
        <v>0</v>
      </c>
      <c r="AC141" s="330">
        <v>0</v>
      </c>
      <c r="AD141" s="330">
        <v>0</v>
      </c>
      <c r="AE141" s="330">
        <v>0</v>
      </c>
      <c r="AF141" s="330">
        <v>0</v>
      </c>
      <c r="AG141" s="328">
        <v>2</v>
      </c>
      <c r="AH141" s="329" t="s">
        <v>934</v>
      </c>
      <c r="AI141" s="184">
        <v>57</v>
      </c>
      <c r="AJ141" s="184">
        <v>43</v>
      </c>
      <c r="AK141" s="184">
        <v>34</v>
      </c>
      <c r="AL141" s="184">
        <v>28</v>
      </c>
      <c r="AM141" s="184">
        <v>9</v>
      </c>
      <c r="AN141" s="184">
        <v>4</v>
      </c>
      <c r="AO141" s="184">
        <v>15</v>
      </c>
      <c r="AP141" s="184">
        <v>11</v>
      </c>
      <c r="AQ141" s="336">
        <v>201</v>
      </c>
      <c r="AR141" s="323">
        <v>13</v>
      </c>
      <c r="AS141" s="323">
        <v>11765</v>
      </c>
      <c r="AT141" s="323">
        <v>1871</v>
      </c>
      <c r="AU141" s="323">
        <v>1226</v>
      </c>
      <c r="AV141" s="323">
        <v>513</v>
      </c>
      <c r="AW141" s="323">
        <v>195</v>
      </c>
      <c r="AX141" s="323">
        <v>62</v>
      </c>
      <c r="AY141" s="323">
        <v>43</v>
      </c>
      <c r="AZ141" s="323">
        <v>0</v>
      </c>
      <c r="BA141" s="323">
        <v>15688</v>
      </c>
      <c r="BB141" s="331">
        <v>4</v>
      </c>
      <c r="BC141" s="330">
        <v>130</v>
      </c>
      <c r="BD141" s="330">
        <v>52</v>
      </c>
      <c r="BE141" s="330">
        <v>46</v>
      </c>
      <c r="BF141" s="330">
        <v>26</v>
      </c>
      <c r="BG141" s="330">
        <v>10</v>
      </c>
      <c r="BH141" s="330">
        <v>4</v>
      </c>
      <c r="BI141" s="330">
        <v>3</v>
      </c>
      <c r="BJ141" s="330">
        <v>0</v>
      </c>
      <c r="BK141" s="328">
        <v>275</v>
      </c>
      <c r="BL141" s="323">
        <v>2</v>
      </c>
      <c r="BM141" s="323">
        <v>11</v>
      </c>
      <c r="BN141" s="323">
        <v>6</v>
      </c>
      <c r="BO141" s="323">
        <v>2</v>
      </c>
      <c r="BP141" s="323">
        <v>8</v>
      </c>
      <c r="BQ141" s="323">
        <v>2</v>
      </c>
      <c r="BR141" s="323">
        <v>8</v>
      </c>
      <c r="BS141" s="323">
        <v>9</v>
      </c>
      <c r="BT141" s="323">
        <v>0</v>
      </c>
      <c r="BU141" s="323">
        <v>48</v>
      </c>
      <c r="BV141" s="329" t="s">
        <v>934</v>
      </c>
      <c r="BW141" s="330">
        <v>179</v>
      </c>
      <c r="BX141" s="330">
        <v>51</v>
      </c>
      <c r="BY141" s="330">
        <v>29</v>
      </c>
      <c r="BZ141" s="330">
        <v>9</v>
      </c>
      <c r="CA141" s="330">
        <v>6</v>
      </c>
      <c r="CB141" s="330">
        <v>5</v>
      </c>
      <c r="CC141" s="330">
        <v>2</v>
      </c>
      <c r="CD141" s="330">
        <v>3</v>
      </c>
      <c r="CE141" s="328">
        <v>284</v>
      </c>
      <c r="CF141" s="322" t="s">
        <v>934</v>
      </c>
      <c r="CG141" s="323">
        <v>505</v>
      </c>
      <c r="CH141" s="323">
        <v>74</v>
      </c>
      <c r="CI141" s="323">
        <v>36</v>
      </c>
      <c r="CJ141" s="323">
        <v>19</v>
      </c>
      <c r="CK141" s="323">
        <v>12</v>
      </c>
      <c r="CL141" s="323">
        <v>8</v>
      </c>
      <c r="CM141" s="323">
        <v>8</v>
      </c>
      <c r="CN141" s="323">
        <v>2</v>
      </c>
      <c r="CO141" s="323">
        <v>664</v>
      </c>
      <c r="CP141" s="329" t="s">
        <v>934</v>
      </c>
      <c r="CQ141" s="330">
        <v>0</v>
      </c>
      <c r="CR141" s="330">
        <v>0</v>
      </c>
      <c r="CS141" s="330">
        <v>0</v>
      </c>
      <c r="CT141" s="330">
        <v>0</v>
      </c>
      <c r="CU141" s="330">
        <v>0</v>
      </c>
      <c r="CV141" s="330">
        <v>0</v>
      </c>
      <c r="CW141" s="330">
        <v>0</v>
      </c>
      <c r="CX141" s="330">
        <v>0</v>
      </c>
      <c r="CY141" s="328">
        <v>0</v>
      </c>
      <c r="CZ141" s="322" t="s">
        <v>934</v>
      </c>
      <c r="DA141" s="323">
        <v>0</v>
      </c>
      <c r="DB141" s="323">
        <v>0</v>
      </c>
      <c r="DC141" s="323">
        <v>0</v>
      </c>
      <c r="DD141" s="323">
        <v>0</v>
      </c>
      <c r="DE141" s="323">
        <v>0</v>
      </c>
      <c r="DF141" s="323">
        <v>0</v>
      </c>
      <c r="DG141" s="323">
        <v>0</v>
      </c>
      <c r="DH141" s="323">
        <v>0</v>
      </c>
      <c r="DI141" s="323">
        <v>0</v>
      </c>
      <c r="DJ141" s="337">
        <v>0</v>
      </c>
      <c r="DK141" s="644">
        <v>27697.8</v>
      </c>
      <c r="DL141" s="616">
        <v>24605</v>
      </c>
      <c r="DM141" s="616">
        <v>6071</v>
      </c>
      <c r="DN141" s="616">
        <v>5431</v>
      </c>
      <c r="DO141" s="616">
        <v>2858</v>
      </c>
      <c r="DP141" s="616">
        <v>1365</v>
      </c>
      <c r="DQ141" s="616">
        <v>546</v>
      </c>
      <c r="DR141" s="616">
        <v>389</v>
      </c>
      <c r="DS141" s="617">
        <v>45</v>
      </c>
      <c r="DT141" s="607">
        <f t="shared" si="2"/>
        <v>41310</v>
      </c>
      <c r="DU141" s="342"/>
      <c r="EC141" s="646"/>
      <c r="EF141" s="125"/>
      <c r="EG141" s="124"/>
    </row>
    <row r="142" spans="1:137" ht="15">
      <c r="A142" s="22">
        <v>134</v>
      </c>
      <c r="B142" s="23" t="s">
        <v>397</v>
      </c>
      <c r="C142" s="24" t="s">
        <v>398</v>
      </c>
      <c r="D142" s="613"/>
      <c r="E142" s="626">
        <v>13980</v>
      </c>
      <c r="F142" s="626">
        <v>11613</v>
      </c>
      <c r="G142" s="626">
        <v>7084</v>
      </c>
      <c r="H142" s="626">
        <v>5477</v>
      </c>
      <c r="I142" s="626">
        <v>2177</v>
      </c>
      <c r="J142" s="626">
        <v>769</v>
      </c>
      <c r="K142" s="626">
        <v>188</v>
      </c>
      <c r="L142" s="626">
        <v>51</v>
      </c>
      <c r="M142" s="627">
        <v>41339</v>
      </c>
      <c r="N142" s="322"/>
      <c r="O142" s="323">
        <v>856</v>
      </c>
      <c r="P142" s="323">
        <v>328</v>
      </c>
      <c r="Q142" s="323">
        <v>175</v>
      </c>
      <c r="R142" s="323">
        <v>108</v>
      </c>
      <c r="S142" s="323">
        <v>45</v>
      </c>
      <c r="T142" s="323">
        <v>18</v>
      </c>
      <c r="U142" s="323">
        <v>9</v>
      </c>
      <c r="V142" s="323">
        <v>1</v>
      </c>
      <c r="W142" s="323">
        <v>1540</v>
      </c>
      <c r="X142" s="329" t="s">
        <v>934</v>
      </c>
      <c r="Y142" s="330">
        <v>0</v>
      </c>
      <c r="Z142" s="330">
        <v>0</v>
      </c>
      <c r="AA142" s="330">
        <v>0</v>
      </c>
      <c r="AB142" s="330">
        <v>0</v>
      </c>
      <c r="AC142" s="330">
        <v>0</v>
      </c>
      <c r="AD142" s="330">
        <v>0</v>
      </c>
      <c r="AE142" s="330">
        <v>0</v>
      </c>
      <c r="AF142" s="330">
        <v>0</v>
      </c>
      <c r="AG142" s="328">
        <v>0</v>
      </c>
      <c r="AH142" s="329" t="s">
        <v>934</v>
      </c>
      <c r="AI142" s="184">
        <v>5</v>
      </c>
      <c r="AJ142" s="184">
        <v>25</v>
      </c>
      <c r="AK142" s="184">
        <v>38</v>
      </c>
      <c r="AL142" s="184">
        <v>41</v>
      </c>
      <c r="AM142" s="184">
        <v>17</v>
      </c>
      <c r="AN142" s="184">
        <v>8</v>
      </c>
      <c r="AO142" s="184">
        <v>4</v>
      </c>
      <c r="AP142" s="184">
        <v>26</v>
      </c>
      <c r="AQ142" s="336">
        <v>164</v>
      </c>
      <c r="AR142" s="323">
        <v>2</v>
      </c>
      <c r="AS142" s="323">
        <v>7561</v>
      </c>
      <c r="AT142" s="323">
        <v>4486</v>
      </c>
      <c r="AU142" s="323">
        <v>2016</v>
      </c>
      <c r="AV142" s="323">
        <v>1351</v>
      </c>
      <c r="AW142" s="323">
        <v>328</v>
      </c>
      <c r="AX142" s="323">
        <v>90</v>
      </c>
      <c r="AY142" s="323">
        <v>28</v>
      </c>
      <c r="AZ142" s="323">
        <v>0</v>
      </c>
      <c r="BA142" s="323">
        <v>15862</v>
      </c>
      <c r="BB142" s="331">
        <v>0</v>
      </c>
      <c r="BC142" s="330">
        <v>32</v>
      </c>
      <c r="BD142" s="330">
        <v>53</v>
      </c>
      <c r="BE142" s="330">
        <v>45</v>
      </c>
      <c r="BF142" s="330">
        <v>27</v>
      </c>
      <c r="BG142" s="330">
        <v>12</v>
      </c>
      <c r="BH142" s="330">
        <v>1</v>
      </c>
      <c r="BI142" s="330">
        <v>1</v>
      </c>
      <c r="BJ142" s="330">
        <v>0</v>
      </c>
      <c r="BK142" s="328">
        <v>171</v>
      </c>
      <c r="BL142" s="323">
        <v>0</v>
      </c>
      <c r="BM142" s="323">
        <v>1</v>
      </c>
      <c r="BN142" s="323">
        <v>1</v>
      </c>
      <c r="BO142" s="323">
        <v>3</v>
      </c>
      <c r="BP142" s="323">
        <v>8</v>
      </c>
      <c r="BQ142" s="323">
        <v>5</v>
      </c>
      <c r="BR142" s="323">
        <v>9</v>
      </c>
      <c r="BS142" s="323">
        <v>41</v>
      </c>
      <c r="BT142" s="323">
        <v>13</v>
      </c>
      <c r="BU142" s="323">
        <v>81</v>
      </c>
      <c r="BV142" s="329" t="s">
        <v>934</v>
      </c>
      <c r="BW142" s="330">
        <v>464</v>
      </c>
      <c r="BX142" s="330">
        <v>196</v>
      </c>
      <c r="BY142" s="330">
        <v>100</v>
      </c>
      <c r="BZ142" s="330">
        <v>76</v>
      </c>
      <c r="CA142" s="330">
        <v>34</v>
      </c>
      <c r="CB142" s="330">
        <v>14</v>
      </c>
      <c r="CC142" s="330">
        <v>3</v>
      </c>
      <c r="CD142" s="330">
        <v>1</v>
      </c>
      <c r="CE142" s="328">
        <v>888</v>
      </c>
      <c r="CF142" s="322" t="s">
        <v>934</v>
      </c>
      <c r="CG142" s="323">
        <v>3</v>
      </c>
      <c r="CH142" s="323">
        <v>4</v>
      </c>
      <c r="CI142" s="323">
        <v>2</v>
      </c>
      <c r="CJ142" s="323">
        <v>0</v>
      </c>
      <c r="CK142" s="323">
        <v>0</v>
      </c>
      <c r="CL142" s="323">
        <v>1</v>
      </c>
      <c r="CM142" s="323">
        <v>0</v>
      </c>
      <c r="CN142" s="323">
        <v>1</v>
      </c>
      <c r="CO142" s="323">
        <v>11</v>
      </c>
      <c r="CP142" s="329" t="s">
        <v>934</v>
      </c>
      <c r="CQ142" s="330">
        <v>711</v>
      </c>
      <c r="CR142" s="330">
        <v>175</v>
      </c>
      <c r="CS142" s="330">
        <v>87</v>
      </c>
      <c r="CT142" s="330">
        <v>44</v>
      </c>
      <c r="CU142" s="330">
        <v>19</v>
      </c>
      <c r="CV142" s="330">
        <v>7</v>
      </c>
      <c r="CW142" s="330">
        <v>4</v>
      </c>
      <c r="CX142" s="330">
        <v>2</v>
      </c>
      <c r="CY142" s="328">
        <v>1049</v>
      </c>
      <c r="CZ142" s="322" t="s">
        <v>934</v>
      </c>
      <c r="DA142" s="323">
        <v>0</v>
      </c>
      <c r="DB142" s="323">
        <v>0</v>
      </c>
      <c r="DC142" s="323">
        <v>0</v>
      </c>
      <c r="DD142" s="323">
        <v>0</v>
      </c>
      <c r="DE142" s="323">
        <v>0</v>
      </c>
      <c r="DF142" s="323">
        <v>0</v>
      </c>
      <c r="DG142" s="323">
        <v>0</v>
      </c>
      <c r="DH142" s="323">
        <v>0</v>
      </c>
      <c r="DI142" s="323">
        <v>0</v>
      </c>
      <c r="DJ142" s="337">
        <v>0</v>
      </c>
      <c r="DK142" s="644">
        <v>29583.3</v>
      </c>
      <c r="DL142" s="614">
        <v>14073</v>
      </c>
      <c r="DM142" s="614">
        <v>11708</v>
      </c>
      <c r="DN142" s="614">
        <v>7117</v>
      </c>
      <c r="DO142" s="614">
        <v>5485</v>
      </c>
      <c r="DP142" s="614">
        <v>2162</v>
      </c>
      <c r="DQ142" s="614">
        <v>776</v>
      </c>
      <c r="DR142" s="614">
        <v>188</v>
      </c>
      <c r="DS142" s="615">
        <v>49</v>
      </c>
      <c r="DT142" s="607">
        <f t="shared" si="2"/>
        <v>41558</v>
      </c>
      <c r="DU142" s="342"/>
      <c r="EC142" s="646"/>
      <c r="EF142" s="123"/>
      <c r="EG142" s="124"/>
    </row>
    <row r="143" spans="1:137" ht="15">
      <c r="A143" s="22">
        <v>135</v>
      </c>
      <c r="B143" s="23" t="s">
        <v>399</v>
      </c>
      <c r="C143" s="24" t="s">
        <v>400</v>
      </c>
      <c r="D143" s="613"/>
      <c r="E143" s="628">
        <v>7668</v>
      </c>
      <c r="F143" s="628">
        <v>13279</v>
      </c>
      <c r="G143" s="628">
        <v>12008</v>
      </c>
      <c r="H143" s="628">
        <v>9610</v>
      </c>
      <c r="I143" s="628">
        <v>5434</v>
      </c>
      <c r="J143" s="628">
        <v>2387</v>
      </c>
      <c r="K143" s="628">
        <v>938</v>
      </c>
      <c r="L143" s="628">
        <v>39</v>
      </c>
      <c r="M143" s="627">
        <v>51363</v>
      </c>
      <c r="N143" s="322"/>
      <c r="O143" s="323">
        <v>281</v>
      </c>
      <c r="P143" s="323">
        <v>211</v>
      </c>
      <c r="Q143" s="323">
        <v>219</v>
      </c>
      <c r="R143" s="323">
        <v>140</v>
      </c>
      <c r="S143" s="323">
        <v>78</v>
      </c>
      <c r="T143" s="323">
        <v>25</v>
      </c>
      <c r="U143" s="323">
        <v>10</v>
      </c>
      <c r="V143" s="323">
        <v>1</v>
      </c>
      <c r="W143" s="323">
        <v>965</v>
      </c>
      <c r="X143" s="329" t="s">
        <v>934</v>
      </c>
      <c r="Y143" s="330">
        <v>0</v>
      </c>
      <c r="Z143" s="330">
        <v>0</v>
      </c>
      <c r="AA143" s="330">
        <v>0</v>
      </c>
      <c r="AB143" s="330">
        <v>0</v>
      </c>
      <c r="AC143" s="330">
        <v>0</v>
      </c>
      <c r="AD143" s="330">
        <v>0</v>
      </c>
      <c r="AE143" s="330">
        <v>0</v>
      </c>
      <c r="AF143" s="330">
        <v>0</v>
      </c>
      <c r="AG143" s="328">
        <v>0</v>
      </c>
      <c r="AH143" s="329" t="s">
        <v>934</v>
      </c>
      <c r="AI143" s="184">
        <v>15</v>
      </c>
      <c r="AJ143" s="184">
        <v>62</v>
      </c>
      <c r="AK143" s="184">
        <v>67</v>
      </c>
      <c r="AL143" s="184">
        <v>106</v>
      </c>
      <c r="AM143" s="184">
        <v>50</v>
      </c>
      <c r="AN143" s="184">
        <v>23</v>
      </c>
      <c r="AO143" s="184">
        <v>21</v>
      </c>
      <c r="AP143" s="184">
        <v>6</v>
      </c>
      <c r="AQ143" s="336">
        <v>350</v>
      </c>
      <c r="AR143" s="323">
        <v>7</v>
      </c>
      <c r="AS143" s="323">
        <v>4542</v>
      </c>
      <c r="AT143" s="323">
        <v>4493</v>
      </c>
      <c r="AU143" s="323">
        <v>3420</v>
      </c>
      <c r="AV143" s="323">
        <v>2367</v>
      </c>
      <c r="AW143" s="323">
        <v>1094</v>
      </c>
      <c r="AX143" s="323">
        <v>342</v>
      </c>
      <c r="AY143" s="323">
        <v>116</v>
      </c>
      <c r="AZ143" s="323">
        <v>2</v>
      </c>
      <c r="BA143" s="323">
        <v>16383</v>
      </c>
      <c r="BB143" s="331">
        <v>2</v>
      </c>
      <c r="BC143" s="330">
        <v>28</v>
      </c>
      <c r="BD143" s="330">
        <v>78</v>
      </c>
      <c r="BE143" s="330">
        <v>68</v>
      </c>
      <c r="BF143" s="330">
        <v>47</v>
      </c>
      <c r="BG143" s="330">
        <v>30</v>
      </c>
      <c r="BH143" s="330">
        <v>10</v>
      </c>
      <c r="BI143" s="330">
        <v>4</v>
      </c>
      <c r="BJ143" s="330">
        <v>0</v>
      </c>
      <c r="BK143" s="328">
        <v>267</v>
      </c>
      <c r="BL143" s="323">
        <v>0</v>
      </c>
      <c r="BM143" s="323">
        <v>2</v>
      </c>
      <c r="BN143" s="323">
        <v>4</v>
      </c>
      <c r="BO143" s="323">
        <v>5</v>
      </c>
      <c r="BP143" s="323">
        <v>4</v>
      </c>
      <c r="BQ143" s="323">
        <v>17</v>
      </c>
      <c r="BR143" s="323">
        <v>13</v>
      </c>
      <c r="BS143" s="323">
        <v>17</v>
      </c>
      <c r="BT143" s="323">
        <v>11</v>
      </c>
      <c r="BU143" s="323">
        <v>73</v>
      </c>
      <c r="BV143" s="329" t="s">
        <v>934</v>
      </c>
      <c r="BW143" s="330">
        <v>80</v>
      </c>
      <c r="BX143" s="330">
        <v>83</v>
      </c>
      <c r="BY143" s="330">
        <v>153</v>
      </c>
      <c r="BZ143" s="330">
        <v>85</v>
      </c>
      <c r="CA143" s="330">
        <v>71</v>
      </c>
      <c r="CB143" s="330">
        <v>30</v>
      </c>
      <c r="CC143" s="330">
        <v>21</v>
      </c>
      <c r="CD143" s="330">
        <v>0</v>
      </c>
      <c r="CE143" s="328">
        <v>523</v>
      </c>
      <c r="CF143" s="322" t="s">
        <v>934</v>
      </c>
      <c r="CG143" s="323">
        <v>0</v>
      </c>
      <c r="CH143" s="323">
        <v>0</v>
      </c>
      <c r="CI143" s="323">
        <v>0</v>
      </c>
      <c r="CJ143" s="323">
        <v>0</v>
      </c>
      <c r="CK143" s="323">
        <v>0</v>
      </c>
      <c r="CL143" s="323">
        <v>0</v>
      </c>
      <c r="CM143" s="323">
        <v>0</v>
      </c>
      <c r="CN143" s="323">
        <v>0</v>
      </c>
      <c r="CO143" s="323">
        <v>0</v>
      </c>
      <c r="CP143" s="329" t="s">
        <v>934</v>
      </c>
      <c r="CQ143" s="330">
        <v>91</v>
      </c>
      <c r="CR143" s="330">
        <v>53</v>
      </c>
      <c r="CS143" s="330">
        <v>59</v>
      </c>
      <c r="CT143" s="330">
        <v>47</v>
      </c>
      <c r="CU143" s="330">
        <v>32</v>
      </c>
      <c r="CV143" s="330">
        <v>8</v>
      </c>
      <c r="CW143" s="330">
        <v>3</v>
      </c>
      <c r="CX143" s="330">
        <v>0</v>
      </c>
      <c r="CY143" s="328">
        <v>293</v>
      </c>
      <c r="CZ143" s="322" t="s">
        <v>934</v>
      </c>
      <c r="DA143" s="323">
        <v>0</v>
      </c>
      <c r="DB143" s="323">
        <v>0</v>
      </c>
      <c r="DC143" s="323">
        <v>0</v>
      </c>
      <c r="DD143" s="323">
        <v>0</v>
      </c>
      <c r="DE143" s="323">
        <v>0</v>
      </c>
      <c r="DF143" s="323">
        <v>0</v>
      </c>
      <c r="DG143" s="323">
        <v>0</v>
      </c>
      <c r="DH143" s="323">
        <v>0</v>
      </c>
      <c r="DI143" s="323">
        <v>0</v>
      </c>
      <c r="DJ143" s="337">
        <v>40</v>
      </c>
      <c r="DK143" s="644">
        <v>42752.7</v>
      </c>
      <c r="DL143" s="614">
        <v>7809</v>
      </c>
      <c r="DM143" s="614">
        <v>13392</v>
      </c>
      <c r="DN143" s="614">
        <v>12081</v>
      </c>
      <c r="DO143" s="614">
        <v>9657</v>
      </c>
      <c r="DP143" s="614">
        <v>5418</v>
      </c>
      <c r="DQ143" s="614">
        <v>2388</v>
      </c>
      <c r="DR143" s="614">
        <v>939</v>
      </c>
      <c r="DS143" s="615">
        <v>38</v>
      </c>
      <c r="DT143" s="607">
        <f t="shared" si="2"/>
        <v>51722</v>
      </c>
      <c r="DU143" s="342"/>
      <c r="EC143" s="646"/>
      <c r="EF143" s="123"/>
      <c r="EG143" s="124"/>
    </row>
    <row r="144" spans="1:137" ht="15">
      <c r="A144" s="22">
        <v>136</v>
      </c>
      <c r="B144" s="23" t="s">
        <v>401</v>
      </c>
      <c r="C144" s="24" t="s">
        <v>402</v>
      </c>
      <c r="D144" s="613"/>
      <c r="E144" s="626">
        <v>5483</v>
      </c>
      <c r="F144" s="626">
        <v>9746</v>
      </c>
      <c r="G144" s="626">
        <v>24181</v>
      </c>
      <c r="H144" s="626">
        <v>33790</v>
      </c>
      <c r="I144" s="626">
        <v>14850</v>
      </c>
      <c r="J144" s="626">
        <v>6145</v>
      </c>
      <c r="K144" s="626">
        <v>3037</v>
      </c>
      <c r="L144" s="626">
        <v>244</v>
      </c>
      <c r="M144" s="627">
        <v>97476</v>
      </c>
      <c r="N144" s="322"/>
      <c r="O144" s="323">
        <v>198</v>
      </c>
      <c r="P144" s="323">
        <v>281</v>
      </c>
      <c r="Q144" s="323">
        <v>503</v>
      </c>
      <c r="R144" s="323">
        <v>528</v>
      </c>
      <c r="S144" s="323">
        <v>201</v>
      </c>
      <c r="T144" s="323">
        <v>60</v>
      </c>
      <c r="U144" s="323">
        <v>46</v>
      </c>
      <c r="V144" s="323">
        <v>0</v>
      </c>
      <c r="W144" s="323">
        <v>1817</v>
      </c>
      <c r="X144" s="329" t="s">
        <v>934</v>
      </c>
      <c r="Y144" s="330">
        <v>0</v>
      </c>
      <c r="Z144" s="330">
        <v>0</v>
      </c>
      <c r="AA144" s="330">
        <v>0</v>
      </c>
      <c r="AB144" s="330">
        <v>0</v>
      </c>
      <c r="AC144" s="330">
        <v>0</v>
      </c>
      <c r="AD144" s="330">
        <v>0</v>
      </c>
      <c r="AE144" s="330">
        <v>0</v>
      </c>
      <c r="AF144" s="330">
        <v>0</v>
      </c>
      <c r="AG144" s="328">
        <v>0</v>
      </c>
      <c r="AH144" s="329" t="s">
        <v>934</v>
      </c>
      <c r="AI144" s="184">
        <v>4</v>
      </c>
      <c r="AJ144" s="184">
        <v>33</v>
      </c>
      <c r="AK144" s="184">
        <v>160</v>
      </c>
      <c r="AL144" s="184">
        <v>263</v>
      </c>
      <c r="AM144" s="184">
        <v>153</v>
      </c>
      <c r="AN144" s="184">
        <v>65</v>
      </c>
      <c r="AO144" s="184">
        <v>39</v>
      </c>
      <c r="AP144" s="184">
        <v>15</v>
      </c>
      <c r="AQ144" s="336">
        <v>732</v>
      </c>
      <c r="AR144" s="323">
        <v>2</v>
      </c>
      <c r="AS144" s="323">
        <v>3312</v>
      </c>
      <c r="AT144" s="323">
        <v>5851</v>
      </c>
      <c r="AU144" s="323">
        <v>9166</v>
      </c>
      <c r="AV144" s="323">
        <v>8955</v>
      </c>
      <c r="AW144" s="323">
        <v>3235</v>
      </c>
      <c r="AX144" s="323">
        <v>943</v>
      </c>
      <c r="AY144" s="323">
        <v>348</v>
      </c>
      <c r="AZ144" s="323">
        <v>12</v>
      </c>
      <c r="BA144" s="323">
        <v>31824</v>
      </c>
      <c r="BB144" s="331">
        <v>0</v>
      </c>
      <c r="BC144" s="330">
        <v>23</v>
      </c>
      <c r="BD144" s="330">
        <v>62</v>
      </c>
      <c r="BE144" s="330">
        <v>177</v>
      </c>
      <c r="BF144" s="330">
        <v>253</v>
      </c>
      <c r="BG144" s="330">
        <v>87</v>
      </c>
      <c r="BH144" s="330">
        <v>37</v>
      </c>
      <c r="BI144" s="330">
        <v>19</v>
      </c>
      <c r="BJ144" s="330">
        <v>1</v>
      </c>
      <c r="BK144" s="328">
        <v>659</v>
      </c>
      <c r="BL144" s="323">
        <v>0</v>
      </c>
      <c r="BM144" s="323">
        <v>3</v>
      </c>
      <c r="BN144" s="323">
        <v>2</v>
      </c>
      <c r="BO144" s="323">
        <v>5</v>
      </c>
      <c r="BP144" s="323">
        <v>7</v>
      </c>
      <c r="BQ144" s="323">
        <v>2</v>
      </c>
      <c r="BR144" s="323">
        <v>14</v>
      </c>
      <c r="BS144" s="323">
        <v>25</v>
      </c>
      <c r="BT144" s="323">
        <v>13</v>
      </c>
      <c r="BU144" s="323">
        <v>71</v>
      </c>
      <c r="BV144" s="329" t="s">
        <v>934</v>
      </c>
      <c r="BW144" s="330">
        <v>33</v>
      </c>
      <c r="BX144" s="330">
        <v>71</v>
      </c>
      <c r="BY144" s="330">
        <v>101</v>
      </c>
      <c r="BZ144" s="330">
        <v>98</v>
      </c>
      <c r="CA144" s="330">
        <v>39</v>
      </c>
      <c r="CB144" s="330">
        <v>8</v>
      </c>
      <c r="CC144" s="330">
        <v>14</v>
      </c>
      <c r="CD144" s="330">
        <v>1</v>
      </c>
      <c r="CE144" s="328">
        <v>365</v>
      </c>
      <c r="CF144" s="322" t="s">
        <v>934</v>
      </c>
      <c r="CG144" s="323">
        <v>245</v>
      </c>
      <c r="CH144" s="323">
        <v>274</v>
      </c>
      <c r="CI144" s="323">
        <v>253</v>
      </c>
      <c r="CJ144" s="323">
        <v>217</v>
      </c>
      <c r="CK144" s="323">
        <v>97</v>
      </c>
      <c r="CL144" s="323">
        <v>34</v>
      </c>
      <c r="CM144" s="323">
        <v>25</v>
      </c>
      <c r="CN144" s="323">
        <v>0</v>
      </c>
      <c r="CO144" s="323">
        <v>1145</v>
      </c>
      <c r="CP144" s="329" t="s">
        <v>934</v>
      </c>
      <c r="CQ144" s="330">
        <v>0</v>
      </c>
      <c r="CR144" s="330">
        <v>0</v>
      </c>
      <c r="CS144" s="330">
        <v>0</v>
      </c>
      <c r="CT144" s="330">
        <v>0</v>
      </c>
      <c r="CU144" s="330">
        <v>0</v>
      </c>
      <c r="CV144" s="330">
        <v>0</v>
      </c>
      <c r="CW144" s="330">
        <v>0</v>
      </c>
      <c r="CX144" s="330">
        <v>0</v>
      </c>
      <c r="CY144" s="328">
        <v>0</v>
      </c>
      <c r="CZ144" s="322" t="s">
        <v>934</v>
      </c>
      <c r="DA144" s="323">
        <v>0</v>
      </c>
      <c r="DB144" s="323">
        <v>0</v>
      </c>
      <c r="DC144" s="323">
        <v>0</v>
      </c>
      <c r="DD144" s="323">
        <v>0</v>
      </c>
      <c r="DE144" s="323">
        <v>0</v>
      </c>
      <c r="DF144" s="323">
        <v>0</v>
      </c>
      <c r="DG144" s="323">
        <v>0</v>
      </c>
      <c r="DH144" s="323">
        <v>0</v>
      </c>
      <c r="DI144" s="323">
        <v>0</v>
      </c>
      <c r="DJ144" s="337">
        <v>0</v>
      </c>
      <c r="DK144" s="644">
        <v>88894.1</v>
      </c>
      <c r="DL144" s="614">
        <v>5483</v>
      </c>
      <c r="DM144" s="614">
        <v>9939</v>
      </c>
      <c r="DN144" s="614">
        <v>24634</v>
      </c>
      <c r="DO144" s="614">
        <v>34082</v>
      </c>
      <c r="DP144" s="614">
        <v>14876</v>
      </c>
      <c r="DQ144" s="614">
        <v>6158</v>
      </c>
      <c r="DR144" s="614">
        <v>3020</v>
      </c>
      <c r="DS144" s="615">
        <v>261</v>
      </c>
      <c r="DT144" s="607">
        <f t="shared" si="2"/>
        <v>98453</v>
      </c>
      <c r="DU144" s="342"/>
      <c r="EC144" s="646"/>
      <c r="EF144" s="123"/>
      <c r="EG144" s="124"/>
    </row>
    <row r="145" spans="1:137" ht="15">
      <c r="A145" s="22">
        <v>137</v>
      </c>
      <c r="B145" s="23" t="s">
        <v>936</v>
      </c>
      <c r="C145" s="24" t="s">
        <v>403</v>
      </c>
      <c r="D145" s="613"/>
      <c r="E145" s="636">
        <v>11856</v>
      </c>
      <c r="F145" s="636">
        <v>18296</v>
      </c>
      <c r="G145" s="636">
        <v>15595</v>
      </c>
      <c r="H145" s="636">
        <v>12491</v>
      </c>
      <c r="I145" s="636">
        <v>10667</v>
      </c>
      <c r="J145" s="636">
        <v>6065</v>
      </c>
      <c r="K145" s="636">
        <v>3351</v>
      </c>
      <c r="L145" s="636">
        <v>179</v>
      </c>
      <c r="M145" s="627">
        <v>78500</v>
      </c>
      <c r="N145" s="322"/>
      <c r="O145" s="323">
        <v>683</v>
      </c>
      <c r="P145" s="323">
        <v>542</v>
      </c>
      <c r="Q145" s="323">
        <v>458</v>
      </c>
      <c r="R145" s="323">
        <v>292</v>
      </c>
      <c r="S145" s="323">
        <v>195</v>
      </c>
      <c r="T145" s="323">
        <v>84</v>
      </c>
      <c r="U145" s="323">
        <v>63</v>
      </c>
      <c r="V145" s="323">
        <v>7</v>
      </c>
      <c r="W145" s="323">
        <v>2324</v>
      </c>
      <c r="X145" s="329" t="s">
        <v>934</v>
      </c>
      <c r="Y145" s="330">
        <v>8</v>
      </c>
      <c r="Z145" s="330">
        <v>2</v>
      </c>
      <c r="AA145" s="330">
        <v>2</v>
      </c>
      <c r="AB145" s="330">
        <v>2</v>
      </c>
      <c r="AC145" s="330">
        <v>0</v>
      </c>
      <c r="AD145" s="330">
        <v>1</v>
      </c>
      <c r="AE145" s="330">
        <v>0</v>
      </c>
      <c r="AF145" s="330">
        <v>0</v>
      </c>
      <c r="AG145" s="328">
        <v>15</v>
      </c>
      <c r="AH145" s="329" t="s">
        <v>934</v>
      </c>
      <c r="AI145" s="184">
        <v>9</v>
      </c>
      <c r="AJ145" s="184">
        <v>82</v>
      </c>
      <c r="AK145" s="184">
        <v>92</v>
      </c>
      <c r="AL145" s="184">
        <v>98</v>
      </c>
      <c r="AM145" s="184">
        <v>104</v>
      </c>
      <c r="AN145" s="184">
        <v>70</v>
      </c>
      <c r="AO145" s="184">
        <v>82</v>
      </c>
      <c r="AP145" s="184">
        <v>11</v>
      </c>
      <c r="AQ145" s="336">
        <v>548</v>
      </c>
      <c r="AR145" s="323">
        <v>3</v>
      </c>
      <c r="AS145" s="323">
        <v>6712</v>
      </c>
      <c r="AT145" s="323">
        <v>6905</v>
      </c>
      <c r="AU145" s="323">
        <v>4687</v>
      </c>
      <c r="AV145" s="323">
        <v>3257</v>
      </c>
      <c r="AW145" s="323">
        <v>2117</v>
      </c>
      <c r="AX145" s="323">
        <v>885</v>
      </c>
      <c r="AY145" s="323">
        <v>415</v>
      </c>
      <c r="AZ145" s="323">
        <v>12</v>
      </c>
      <c r="BA145" s="323">
        <v>24993</v>
      </c>
      <c r="BB145" s="331">
        <v>2</v>
      </c>
      <c r="BC145" s="330">
        <v>55</v>
      </c>
      <c r="BD145" s="330">
        <v>121</v>
      </c>
      <c r="BE145" s="330">
        <v>123</v>
      </c>
      <c r="BF145" s="330">
        <v>69</v>
      </c>
      <c r="BG145" s="330">
        <v>70</v>
      </c>
      <c r="BH145" s="330">
        <v>39</v>
      </c>
      <c r="BI145" s="330">
        <v>11</v>
      </c>
      <c r="BJ145" s="330">
        <v>0</v>
      </c>
      <c r="BK145" s="328">
        <v>490</v>
      </c>
      <c r="BL145" s="323">
        <v>0</v>
      </c>
      <c r="BM145" s="323">
        <v>12</v>
      </c>
      <c r="BN145" s="323">
        <v>3</v>
      </c>
      <c r="BO145" s="323">
        <v>10</v>
      </c>
      <c r="BP145" s="323">
        <v>11</v>
      </c>
      <c r="BQ145" s="323">
        <v>11</v>
      </c>
      <c r="BR145" s="323">
        <v>45</v>
      </c>
      <c r="BS145" s="323">
        <v>24</v>
      </c>
      <c r="BT145" s="323">
        <v>3</v>
      </c>
      <c r="BU145" s="323">
        <v>119</v>
      </c>
      <c r="BV145" s="329" t="s">
        <v>934</v>
      </c>
      <c r="BW145" s="330">
        <v>194</v>
      </c>
      <c r="BX145" s="330">
        <v>146</v>
      </c>
      <c r="BY145" s="330">
        <v>172</v>
      </c>
      <c r="BZ145" s="330">
        <v>162</v>
      </c>
      <c r="CA145" s="330">
        <v>155</v>
      </c>
      <c r="CB145" s="330">
        <v>91</v>
      </c>
      <c r="CC145" s="330">
        <v>63</v>
      </c>
      <c r="CD145" s="330">
        <v>10</v>
      </c>
      <c r="CE145" s="328">
        <v>993</v>
      </c>
      <c r="CF145" s="322" t="s">
        <v>934</v>
      </c>
      <c r="CG145" s="323">
        <v>0</v>
      </c>
      <c r="CH145" s="323">
        <v>0</v>
      </c>
      <c r="CI145" s="323">
        <v>0</v>
      </c>
      <c r="CJ145" s="323">
        <v>0</v>
      </c>
      <c r="CK145" s="323">
        <v>0</v>
      </c>
      <c r="CL145" s="323">
        <v>0</v>
      </c>
      <c r="CM145" s="323">
        <v>0</v>
      </c>
      <c r="CN145" s="323">
        <v>0</v>
      </c>
      <c r="CO145" s="323">
        <v>0</v>
      </c>
      <c r="CP145" s="329" t="s">
        <v>934</v>
      </c>
      <c r="CQ145" s="330">
        <v>222</v>
      </c>
      <c r="CR145" s="330">
        <v>126</v>
      </c>
      <c r="CS145" s="330">
        <v>136</v>
      </c>
      <c r="CT145" s="330">
        <v>117</v>
      </c>
      <c r="CU145" s="330">
        <v>80</v>
      </c>
      <c r="CV145" s="330">
        <v>43</v>
      </c>
      <c r="CW145" s="330">
        <v>27</v>
      </c>
      <c r="CX145" s="330">
        <v>1</v>
      </c>
      <c r="CY145" s="328">
        <v>752</v>
      </c>
      <c r="CZ145" s="322" t="s">
        <v>934</v>
      </c>
      <c r="DA145" s="323">
        <v>0</v>
      </c>
      <c r="DB145" s="323">
        <v>0</v>
      </c>
      <c r="DC145" s="323">
        <v>0</v>
      </c>
      <c r="DD145" s="323">
        <v>0</v>
      </c>
      <c r="DE145" s="323">
        <v>0</v>
      </c>
      <c r="DF145" s="323">
        <v>0</v>
      </c>
      <c r="DG145" s="323">
        <v>0</v>
      </c>
      <c r="DH145" s="323">
        <v>0</v>
      </c>
      <c r="DI145" s="323">
        <v>0</v>
      </c>
      <c r="DJ145" s="337">
        <v>215.1</v>
      </c>
      <c r="DK145" s="644">
        <v>68107.8</v>
      </c>
      <c r="DL145" s="616">
        <v>12000</v>
      </c>
      <c r="DM145" s="616">
        <v>18487</v>
      </c>
      <c r="DN145" s="616">
        <v>15718</v>
      </c>
      <c r="DO145" s="616">
        <v>12617</v>
      </c>
      <c r="DP145" s="616">
        <v>10761</v>
      </c>
      <c r="DQ145" s="616">
        <v>6150</v>
      </c>
      <c r="DR145" s="616">
        <v>3377</v>
      </c>
      <c r="DS145" s="617">
        <v>181</v>
      </c>
      <c r="DT145" s="607">
        <f t="shared" si="2"/>
        <v>79291</v>
      </c>
      <c r="DU145" s="342"/>
      <c r="EC145" s="646"/>
      <c r="EF145" s="125"/>
      <c r="EG145" s="124"/>
    </row>
    <row r="146" spans="1:137" ht="15">
      <c r="A146" s="22">
        <v>138</v>
      </c>
      <c r="B146" s="23" t="s">
        <v>404</v>
      </c>
      <c r="C146" s="24" t="s">
        <v>405</v>
      </c>
      <c r="D146" s="613"/>
      <c r="E146" s="629">
        <v>501</v>
      </c>
      <c r="F146" s="629">
        <v>2791</v>
      </c>
      <c r="G146" s="629">
        <v>6078</v>
      </c>
      <c r="H146" s="629">
        <v>13182</v>
      </c>
      <c r="I146" s="629">
        <v>8435</v>
      </c>
      <c r="J146" s="629">
        <v>3872</v>
      </c>
      <c r="K146" s="629">
        <v>4258</v>
      </c>
      <c r="L146" s="629">
        <v>811</v>
      </c>
      <c r="M146" s="627">
        <v>39928</v>
      </c>
      <c r="N146" s="322"/>
      <c r="O146" s="323">
        <v>20</v>
      </c>
      <c r="P146" s="323">
        <v>99</v>
      </c>
      <c r="Q146" s="323">
        <v>159</v>
      </c>
      <c r="R146" s="323">
        <v>241</v>
      </c>
      <c r="S146" s="323">
        <v>204</v>
      </c>
      <c r="T146" s="323">
        <v>264</v>
      </c>
      <c r="U146" s="323">
        <v>65</v>
      </c>
      <c r="V146" s="323">
        <v>18</v>
      </c>
      <c r="W146" s="323">
        <v>1070</v>
      </c>
      <c r="X146" s="329" t="s">
        <v>934</v>
      </c>
      <c r="Y146" s="330">
        <v>0</v>
      </c>
      <c r="Z146" s="330">
        <v>0</v>
      </c>
      <c r="AA146" s="330">
        <v>0</v>
      </c>
      <c r="AB146" s="330">
        <v>0</v>
      </c>
      <c r="AC146" s="330">
        <v>0</v>
      </c>
      <c r="AD146" s="330">
        <v>0</v>
      </c>
      <c r="AE146" s="330">
        <v>0</v>
      </c>
      <c r="AF146" s="330">
        <v>0</v>
      </c>
      <c r="AG146" s="328">
        <v>0</v>
      </c>
      <c r="AH146" s="329" t="s">
        <v>934</v>
      </c>
      <c r="AI146" s="184">
        <v>0</v>
      </c>
      <c r="AJ146" s="184">
        <v>4</v>
      </c>
      <c r="AK146" s="184">
        <v>21</v>
      </c>
      <c r="AL146" s="184">
        <v>64</v>
      </c>
      <c r="AM146" s="184">
        <v>68</v>
      </c>
      <c r="AN146" s="184">
        <v>37</v>
      </c>
      <c r="AO146" s="184">
        <v>31</v>
      </c>
      <c r="AP146" s="184">
        <v>14</v>
      </c>
      <c r="AQ146" s="336">
        <v>239</v>
      </c>
      <c r="AR146" s="323">
        <v>0</v>
      </c>
      <c r="AS146" s="323">
        <v>225</v>
      </c>
      <c r="AT146" s="323">
        <v>1898</v>
      </c>
      <c r="AU146" s="323">
        <v>3088</v>
      </c>
      <c r="AV146" s="323">
        <v>4233</v>
      </c>
      <c r="AW146" s="323">
        <v>2041</v>
      </c>
      <c r="AX146" s="323">
        <v>712</v>
      </c>
      <c r="AY146" s="323">
        <v>509</v>
      </c>
      <c r="AZ146" s="323">
        <v>54</v>
      </c>
      <c r="BA146" s="323">
        <v>12760</v>
      </c>
      <c r="BB146" s="331">
        <v>0</v>
      </c>
      <c r="BC146" s="330">
        <v>4</v>
      </c>
      <c r="BD146" s="330">
        <v>10</v>
      </c>
      <c r="BE146" s="330">
        <v>37</v>
      </c>
      <c r="BF146" s="330">
        <v>83</v>
      </c>
      <c r="BG146" s="330">
        <v>49</v>
      </c>
      <c r="BH146" s="330">
        <v>17</v>
      </c>
      <c r="BI146" s="330">
        <v>10</v>
      </c>
      <c r="BJ146" s="330">
        <v>3</v>
      </c>
      <c r="BK146" s="328">
        <v>213</v>
      </c>
      <c r="BL146" s="323">
        <v>0</v>
      </c>
      <c r="BM146" s="323">
        <v>2</v>
      </c>
      <c r="BN146" s="323">
        <v>0</v>
      </c>
      <c r="BO146" s="323">
        <v>3</v>
      </c>
      <c r="BP146" s="323">
        <v>13</v>
      </c>
      <c r="BQ146" s="323">
        <v>3</v>
      </c>
      <c r="BR146" s="323">
        <v>11</v>
      </c>
      <c r="BS146" s="323">
        <v>26</v>
      </c>
      <c r="BT146" s="323">
        <v>18</v>
      </c>
      <c r="BU146" s="323">
        <v>76</v>
      </c>
      <c r="BV146" s="329" t="s">
        <v>934</v>
      </c>
      <c r="BW146" s="330">
        <v>3</v>
      </c>
      <c r="BX146" s="330">
        <v>10</v>
      </c>
      <c r="BY146" s="330">
        <v>39</v>
      </c>
      <c r="BZ146" s="330">
        <v>41</v>
      </c>
      <c r="CA146" s="330">
        <v>16</v>
      </c>
      <c r="CB146" s="330">
        <v>18</v>
      </c>
      <c r="CC146" s="330">
        <v>15</v>
      </c>
      <c r="CD146" s="330">
        <v>3</v>
      </c>
      <c r="CE146" s="328">
        <v>145</v>
      </c>
      <c r="CF146" s="322" t="s">
        <v>934</v>
      </c>
      <c r="CG146" s="323">
        <v>0</v>
      </c>
      <c r="CH146" s="323">
        <v>0</v>
      </c>
      <c r="CI146" s="323">
        <v>0</v>
      </c>
      <c r="CJ146" s="323">
        <v>0</v>
      </c>
      <c r="CK146" s="323">
        <v>0</v>
      </c>
      <c r="CL146" s="323">
        <v>0</v>
      </c>
      <c r="CM146" s="323">
        <v>0</v>
      </c>
      <c r="CN146" s="323">
        <v>0</v>
      </c>
      <c r="CO146" s="323">
        <v>0</v>
      </c>
      <c r="CP146" s="329" t="s">
        <v>934</v>
      </c>
      <c r="CQ146" s="330">
        <v>15</v>
      </c>
      <c r="CR146" s="330">
        <v>66</v>
      </c>
      <c r="CS146" s="330">
        <v>89</v>
      </c>
      <c r="CT146" s="330">
        <v>99</v>
      </c>
      <c r="CU146" s="330">
        <v>58</v>
      </c>
      <c r="CV146" s="330">
        <v>31</v>
      </c>
      <c r="CW146" s="330">
        <v>36</v>
      </c>
      <c r="CX146" s="330">
        <v>18</v>
      </c>
      <c r="CY146" s="328">
        <v>412</v>
      </c>
      <c r="CZ146" s="322" t="s">
        <v>934</v>
      </c>
      <c r="DA146" s="323">
        <v>0</v>
      </c>
      <c r="DB146" s="323">
        <v>0</v>
      </c>
      <c r="DC146" s="323">
        <v>0</v>
      </c>
      <c r="DD146" s="323">
        <v>0</v>
      </c>
      <c r="DE146" s="323">
        <v>0</v>
      </c>
      <c r="DF146" s="323">
        <v>0</v>
      </c>
      <c r="DG146" s="323">
        <v>0</v>
      </c>
      <c r="DH146" s="323">
        <v>0</v>
      </c>
      <c r="DI146" s="323">
        <v>0</v>
      </c>
      <c r="DJ146" s="337">
        <v>370.7</v>
      </c>
      <c r="DK146" s="644">
        <v>41320.5</v>
      </c>
      <c r="DL146" s="616">
        <v>506</v>
      </c>
      <c r="DM146" s="616">
        <v>2822</v>
      </c>
      <c r="DN146" s="616">
        <v>6106</v>
      </c>
      <c r="DO146" s="616">
        <v>13249</v>
      </c>
      <c r="DP146" s="616">
        <v>8477</v>
      </c>
      <c r="DQ146" s="616">
        <v>3931</v>
      </c>
      <c r="DR146" s="616">
        <v>4282</v>
      </c>
      <c r="DS146" s="617">
        <v>831</v>
      </c>
      <c r="DT146" s="607">
        <f t="shared" si="2"/>
        <v>40204</v>
      </c>
      <c r="DU146" s="342"/>
      <c r="EC146" s="646"/>
      <c r="EF146" s="125"/>
      <c r="EG146" s="124"/>
    </row>
    <row r="147" spans="1:137" ht="15">
      <c r="A147" s="22">
        <v>139</v>
      </c>
      <c r="B147" s="23" t="s">
        <v>406</v>
      </c>
      <c r="C147" s="24" t="s">
        <v>407</v>
      </c>
      <c r="D147" s="613"/>
      <c r="E147" s="629">
        <v>7891</v>
      </c>
      <c r="F147" s="629">
        <v>12187</v>
      </c>
      <c r="G147" s="629">
        <v>8524</v>
      </c>
      <c r="H147" s="629">
        <v>4445</v>
      </c>
      <c r="I147" s="629">
        <v>3556</v>
      </c>
      <c r="J147" s="629">
        <v>1985</v>
      </c>
      <c r="K147" s="629">
        <v>838</v>
      </c>
      <c r="L147" s="629">
        <v>50</v>
      </c>
      <c r="M147" s="627">
        <v>39476</v>
      </c>
      <c r="N147" s="322"/>
      <c r="O147" s="323">
        <v>358</v>
      </c>
      <c r="P147" s="323">
        <v>288</v>
      </c>
      <c r="Q147" s="323">
        <v>180</v>
      </c>
      <c r="R147" s="323">
        <v>79</v>
      </c>
      <c r="S147" s="323">
        <v>41</v>
      </c>
      <c r="T147" s="323">
        <v>22</v>
      </c>
      <c r="U147" s="323">
        <v>17</v>
      </c>
      <c r="V147" s="323">
        <v>0</v>
      </c>
      <c r="W147" s="323">
        <v>985</v>
      </c>
      <c r="X147" s="329" t="s">
        <v>934</v>
      </c>
      <c r="Y147" s="330">
        <v>0</v>
      </c>
      <c r="Z147" s="330">
        <v>0</v>
      </c>
      <c r="AA147" s="330">
        <v>0</v>
      </c>
      <c r="AB147" s="330">
        <v>0</v>
      </c>
      <c r="AC147" s="330">
        <v>0</v>
      </c>
      <c r="AD147" s="330">
        <v>0</v>
      </c>
      <c r="AE147" s="330">
        <v>0</v>
      </c>
      <c r="AF147" s="330">
        <v>0</v>
      </c>
      <c r="AG147" s="328">
        <v>0</v>
      </c>
      <c r="AH147" s="329" t="s">
        <v>934</v>
      </c>
      <c r="AI147" s="184">
        <v>15</v>
      </c>
      <c r="AJ147" s="184">
        <v>55</v>
      </c>
      <c r="AK147" s="184">
        <v>54</v>
      </c>
      <c r="AL147" s="184">
        <v>34</v>
      </c>
      <c r="AM147" s="184">
        <v>28</v>
      </c>
      <c r="AN147" s="184">
        <v>21</v>
      </c>
      <c r="AO147" s="184">
        <v>18</v>
      </c>
      <c r="AP147" s="184">
        <v>13</v>
      </c>
      <c r="AQ147" s="336">
        <v>238</v>
      </c>
      <c r="AR147" s="323">
        <v>6</v>
      </c>
      <c r="AS147" s="323">
        <v>4258</v>
      </c>
      <c r="AT147" s="323">
        <v>4471</v>
      </c>
      <c r="AU147" s="323">
        <v>2169</v>
      </c>
      <c r="AV147" s="323">
        <v>930</v>
      </c>
      <c r="AW147" s="323">
        <v>544</v>
      </c>
      <c r="AX147" s="323">
        <v>252</v>
      </c>
      <c r="AY147" s="323">
        <v>88</v>
      </c>
      <c r="AZ147" s="323">
        <v>4</v>
      </c>
      <c r="BA147" s="323">
        <v>12722</v>
      </c>
      <c r="BB147" s="331">
        <v>0</v>
      </c>
      <c r="BC147" s="330">
        <v>43</v>
      </c>
      <c r="BD147" s="330">
        <v>90</v>
      </c>
      <c r="BE147" s="330">
        <v>70</v>
      </c>
      <c r="BF147" s="330">
        <v>26</v>
      </c>
      <c r="BG147" s="330">
        <v>17</v>
      </c>
      <c r="BH147" s="330">
        <v>10</v>
      </c>
      <c r="BI147" s="330">
        <v>2</v>
      </c>
      <c r="BJ147" s="330">
        <v>0</v>
      </c>
      <c r="BK147" s="328">
        <v>258</v>
      </c>
      <c r="BL147" s="323">
        <v>1</v>
      </c>
      <c r="BM147" s="323">
        <v>16</v>
      </c>
      <c r="BN147" s="323">
        <v>17</v>
      </c>
      <c r="BO147" s="323">
        <v>14</v>
      </c>
      <c r="BP147" s="323">
        <v>7</v>
      </c>
      <c r="BQ147" s="323">
        <v>4</v>
      </c>
      <c r="BR147" s="323">
        <v>11</v>
      </c>
      <c r="BS147" s="323">
        <v>15</v>
      </c>
      <c r="BT147" s="323">
        <v>2</v>
      </c>
      <c r="BU147" s="323">
        <v>87</v>
      </c>
      <c r="BV147" s="329" t="s">
        <v>934</v>
      </c>
      <c r="BW147" s="330">
        <v>53</v>
      </c>
      <c r="BX147" s="330">
        <v>64</v>
      </c>
      <c r="BY147" s="330">
        <v>48</v>
      </c>
      <c r="BZ147" s="330">
        <v>34</v>
      </c>
      <c r="CA147" s="330">
        <v>18</v>
      </c>
      <c r="CB147" s="330">
        <v>13</v>
      </c>
      <c r="CC147" s="330">
        <v>6</v>
      </c>
      <c r="CD147" s="330">
        <v>1</v>
      </c>
      <c r="CE147" s="328">
        <v>237</v>
      </c>
      <c r="CF147" s="322" t="s">
        <v>934</v>
      </c>
      <c r="CG147" s="323">
        <v>0</v>
      </c>
      <c r="CH147" s="323">
        <v>0</v>
      </c>
      <c r="CI147" s="323">
        <v>0</v>
      </c>
      <c r="CJ147" s="323">
        <v>0</v>
      </c>
      <c r="CK147" s="323">
        <v>0</v>
      </c>
      <c r="CL147" s="323">
        <v>0</v>
      </c>
      <c r="CM147" s="323">
        <v>0</v>
      </c>
      <c r="CN147" s="323">
        <v>0</v>
      </c>
      <c r="CO147" s="323">
        <v>0</v>
      </c>
      <c r="CP147" s="329" t="s">
        <v>934</v>
      </c>
      <c r="CQ147" s="330">
        <v>0</v>
      </c>
      <c r="CR147" s="330">
        <v>0</v>
      </c>
      <c r="CS147" s="330">
        <v>0</v>
      </c>
      <c r="CT147" s="330">
        <v>0</v>
      </c>
      <c r="CU147" s="330">
        <v>0</v>
      </c>
      <c r="CV147" s="330">
        <v>0</v>
      </c>
      <c r="CW147" s="330">
        <v>0</v>
      </c>
      <c r="CX147" s="330">
        <v>0</v>
      </c>
      <c r="CY147" s="328">
        <v>0</v>
      </c>
      <c r="CZ147" s="322" t="s">
        <v>934</v>
      </c>
      <c r="DA147" s="323">
        <v>174</v>
      </c>
      <c r="DB147" s="323">
        <v>176</v>
      </c>
      <c r="DC147" s="323">
        <v>82</v>
      </c>
      <c r="DD147" s="323">
        <v>53</v>
      </c>
      <c r="DE147" s="323">
        <v>36</v>
      </c>
      <c r="DF147" s="323">
        <v>9</v>
      </c>
      <c r="DG147" s="323">
        <v>6</v>
      </c>
      <c r="DH147" s="323">
        <v>0</v>
      </c>
      <c r="DI147" s="323">
        <v>536</v>
      </c>
      <c r="DJ147" s="337">
        <v>0</v>
      </c>
      <c r="DK147" s="644">
        <v>31777.5</v>
      </c>
      <c r="DL147" s="616">
        <v>8045</v>
      </c>
      <c r="DM147" s="616">
        <v>12348</v>
      </c>
      <c r="DN147" s="616">
        <v>8549</v>
      </c>
      <c r="DO147" s="616">
        <v>4500</v>
      </c>
      <c r="DP147" s="616">
        <v>3569</v>
      </c>
      <c r="DQ147" s="616">
        <v>2027</v>
      </c>
      <c r="DR147" s="616">
        <v>831</v>
      </c>
      <c r="DS147" s="617">
        <v>49</v>
      </c>
      <c r="DT147" s="607">
        <f t="shared" si="2"/>
        <v>39918</v>
      </c>
      <c r="DU147" s="342"/>
      <c r="EC147" s="646"/>
      <c r="EF147" s="125"/>
      <c r="EG147" s="124"/>
    </row>
    <row r="148" spans="1:137" ht="15">
      <c r="A148" s="22">
        <v>140</v>
      </c>
      <c r="B148" s="23" t="s">
        <v>408</v>
      </c>
      <c r="C148" s="24" t="s">
        <v>409</v>
      </c>
      <c r="D148" s="613"/>
      <c r="E148" s="626">
        <v>697</v>
      </c>
      <c r="F148" s="626">
        <v>5334</v>
      </c>
      <c r="G148" s="626">
        <v>20819</v>
      </c>
      <c r="H148" s="626">
        <v>43597</v>
      </c>
      <c r="I148" s="626">
        <v>17385</v>
      </c>
      <c r="J148" s="626">
        <v>9251</v>
      </c>
      <c r="K148" s="626">
        <v>4474</v>
      </c>
      <c r="L148" s="626">
        <v>381</v>
      </c>
      <c r="M148" s="627">
        <v>101938</v>
      </c>
      <c r="N148" s="322"/>
      <c r="O148" s="323">
        <v>81</v>
      </c>
      <c r="P148" s="323">
        <v>276</v>
      </c>
      <c r="Q148" s="323">
        <v>752</v>
      </c>
      <c r="R148" s="323">
        <v>1308</v>
      </c>
      <c r="S148" s="323">
        <v>451</v>
      </c>
      <c r="T148" s="323">
        <v>356</v>
      </c>
      <c r="U148" s="323">
        <v>251</v>
      </c>
      <c r="V148" s="323">
        <v>23</v>
      </c>
      <c r="W148" s="323">
        <v>3498</v>
      </c>
      <c r="X148" s="329" t="s">
        <v>934</v>
      </c>
      <c r="Y148" s="330">
        <v>0</v>
      </c>
      <c r="Z148" s="330">
        <v>0</v>
      </c>
      <c r="AA148" s="330">
        <v>0</v>
      </c>
      <c r="AB148" s="330">
        <v>0</v>
      </c>
      <c r="AC148" s="330">
        <v>0</v>
      </c>
      <c r="AD148" s="330">
        <v>0</v>
      </c>
      <c r="AE148" s="330">
        <v>0</v>
      </c>
      <c r="AF148" s="330">
        <v>0</v>
      </c>
      <c r="AG148" s="328">
        <v>0</v>
      </c>
      <c r="AH148" s="329" t="s">
        <v>934</v>
      </c>
      <c r="AI148" s="184">
        <v>0</v>
      </c>
      <c r="AJ148" s="184">
        <v>13</v>
      </c>
      <c r="AK148" s="184">
        <v>63</v>
      </c>
      <c r="AL148" s="184">
        <v>259</v>
      </c>
      <c r="AM148" s="184">
        <v>150</v>
      </c>
      <c r="AN148" s="184">
        <v>98</v>
      </c>
      <c r="AO148" s="184">
        <v>40</v>
      </c>
      <c r="AP148" s="184">
        <v>16</v>
      </c>
      <c r="AQ148" s="336">
        <v>639</v>
      </c>
      <c r="AR148" s="323">
        <v>0</v>
      </c>
      <c r="AS148" s="323">
        <v>377</v>
      </c>
      <c r="AT148" s="323">
        <v>3512</v>
      </c>
      <c r="AU148" s="323">
        <v>11083</v>
      </c>
      <c r="AV148" s="323">
        <v>13040</v>
      </c>
      <c r="AW148" s="323">
        <v>4279</v>
      </c>
      <c r="AX148" s="323">
        <v>1887</v>
      </c>
      <c r="AY148" s="323">
        <v>595</v>
      </c>
      <c r="AZ148" s="323">
        <v>25</v>
      </c>
      <c r="BA148" s="323">
        <v>34798</v>
      </c>
      <c r="BB148" s="331">
        <v>0</v>
      </c>
      <c r="BC148" s="330">
        <v>1</v>
      </c>
      <c r="BD148" s="330">
        <v>21</v>
      </c>
      <c r="BE148" s="330">
        <v>131</v>
      </c>
      <c r="BF148" s="330">
        <v>241</v>
      </c>
      <c r="BG148" s="330">
        <v>85</v>
      </c>
      <c r="BH148" s="330">
        <v>51</v>
      </c>
      <c r="BI148" s="330">
        <v>20</v>
      </c>
      <c r="BJ148" s="330">
        <v>1</v>
      </c>
      <c r="BK148" s="328">
        <v>551</v>
      </c>
      <c r="BL148" s="323">
        <v>0</v>
      </c>
      <c r="BM148" s="323">
        <v>0</v>
      </c>
      <c r="BN148" s="323">
        <v>13</v>
      </c>
      <c r="BO148" s="323">
        <v>19</v>
      </c>
      <c r="BP148" s="323">
        <v>15</v>
      </c>
      <c r="BQ148" s="323">
        <v>17</v>
      </c>
      <c r="BR148" s="323">
        <v>21</v>
      </c>
      <c r="BS148" s="323">
        <v>25</v>
      </c>
      <c r="BT148" s="323">
        <v>15</v>
      </c>
      <c r="BU148" s="323">
        <v>125</v>
      </c>
      <c r="BV148" s="329" t="s">
        <v>934</v>
      </c>
      <c r="BW148" s="330">
        <v>21</v>
      </c>
      <c r="BX148" s="330">
        <v>92</v>
      </c>
      <c r="BY148" s="330">
        <v>371</v>
      </c>
      <c r="BZ148" s="330">
        <v>370</v>
      </c>
      <c r="CA148" s="330">
        <v>126</v>
      </c>
      <c r="CB148" s="330">
        <v>63</v>
      </c>
      <c r="CC148" s="330">
        <v>45</v>
      </c>
      <c r="CD148" s="330">
        <v>3</v>
      </c>
      <c r="CE148" s="328">
        <v>1091</v>
      </c>
      <c r="CF148" s="322" t="s">
        <v>934</v>
      </c>
      <c r="CG148" s="323">
        <v>0</v>
      </c>
      <c r="CH148" s="323">
        <v>0</v>
      </c>
      <c r="CI148" s="323">
        <v>0</v>
      </c>
      <c r="CJ148" s="323">
        <v>0</v>
      </c>
      <c r="CK148" s="323">
        <v>0</v>
      </c>
      <c r="CL148" s="323">
        <v>0</v>
      </c>
      <c r="CM148" s="323">
        <v>0</v>
      </c>
      <c r="CN148" s="323">
        <v>0</v>
      </c>
      <c r="CO148" s="323">
        <v>0</v>
      </c>
      <c r="CP148" s="329" t="s">
        <v>934</v>
      </c>
      <c r="CQ148" s="330">
        <v>27</v>
      </c>
      <c r="CR148" s="330">
        <v>92</v>
      </c>
      <c r="CS148" s="330">
        <v>192</v>
      </c>
      <c r="CT148" s="330">
        <v>299</v>
      </c>
      <c r="CU148" s="330">
        <v>104</v>
      </c>
      <c r="CV148" s="330">
        <v>56</v>
      </c>
      <c r="CW148" s="330">
        <v>28</v>
      </c>
      <c r="CX148" s="330">
        <v>6</v>
      </c>
      <c r="CY148" s="328">
        <v>804</v>
      </c>
      <c r="CZ148" s="322" t="s">
        <v>934</v>
      </c>
      <c r="DA148" s="323">
        <v>0</v>
      </c>
      <c r="DB148" s="323">
        <v>0</v>
      </c>
      <c r="DC148" s="323">
        <v>0</v>
      </c>
      <c r="DD148" s="323">
        <v>0</v>
      </c>
      <c r="DE148" s="323">
        <v>0</v>
      </c>
      <c r="DF148" s="323">
        <v>0</v>
      </c>
      <c r="DG148" s="323">
        <v>0</v>
      </c>
      <c r="DH148" s="323">
        <v>0</v>
      </c>
      <c r="DI148" s="323">
        <v>0</v>
      </c>
      <c r="DJ148" s="337">
        <v>802</v>
      </c>
      <c r="DK148" s="644">
        <v>97048.9</v>
      </c>
      <c r="DL148" s="614">
        <v>663</v>
      </c>
      <c r="DM148" s="614">
        <v>5366</v>
      </c>
      <c r="DN148" s="614">
        <v>20935</v>
      </c>
      <c r="DO148" s="614">
        <v>43698</v>
      </c>
      <c r="DP148" s="614">
        <v>17395</v>
      </c>
      <c r="DQ148" s="614">
        <v>9251</v>
      </c>
      <c r="DR148" s="614">
        <v>4499</v>
      </c>
      <c r="DS148" s="615">
        <v>376</v>
      </c>
      <c r="DT148" s="607">
        <f t="shared" si="2"/>
        <v>102183</v>
      </c>
      <c r="DU148" s="342"/>
      <c r="EC148" s="646"/>
      <c r="EF148" s="123"/>
      <c r="EG148" s="124"/>
    </row>
    <row r="149" spans="1:137" ht="15">
      <c r="A149" s="22">
        <v>141</v>
      </c>
      <c r="B149" s="23" t="s">
        <v>410</v>
      </c>
      <c r="C149" s="24" t="s">
        <v>411</v>
      </c>
      <c r="D149" s="613"/>
      <c r="E149" s="630">
        <v>7640</v>
      </c>
      <c r="F149" s="630">
        <v>14146</v>
      </c>
      <c r="G149" s="630">
        <v>10096</v>
      </c>
      <c r="H149" s="630">
        <v>6417</v>
      </c>
      <c r="I149" s="630">
        <v>3617</v>
      </c>
      <c r="J149" s="630">
        <v>1861</v>
      </c>
      <c r="K149" s="630">
        <v>915</v>
      </c>
      <c r="L149" s="630">
        <v>63</v>
      </c>
      <c r="M149" s="627">
        <v>44755</v>
      </c>
      <c r="N149" s="322"/>
      <c r="O149" s="323">
        <v>356</v>
      </c>
      <c r="P149" s="323">
        <v>344</v>
      </c>
      <c r="Q149" s="323">
        <v>182</v>
      </c>
      <c r="R149" s="323">
        <v>118</v>
      </c>
      <c r="S149" s="323">
        <v>60</v>
      </c>
      <c r="T149" s="323">
        <v>28</v>
      </c>
      <c r="U149" s="323">
        <v>9</v>
      </c>
      <c r="V149" s="323">
        <v>1</v>
      </c>
      <c r="W149" s="323">
        <v>1098</v>
      </c>
      <c r="X149" s="329" t="s">
        <v>934</v>
      </c>
      <c r="Y149" s="330">
        <v>0</v>
      </c>
      <c r="Z149" s="330">
        <v>0</v>
      </c>
      <c r="AA149" s="330">
        <v>1</v>
      </c>
      <c r="AB149" s="330">
        <v>0</v>
      </c>
      <c r="AC149" s="330">
        <v>0</v>
      </c>
      <c r="AD149" s="330">
        <v>0</v>
      </c>
      <c r="AE149" s="330">
        <v>0</v>
      </c>
      <c r="AF149" s="330">
        <v>0</v>
      </c>
      <c r="AG149" s="328">
        <v>1</v>
      </c>
      <c r="AH149" s="329" t="s">
        <v>934</v>
      </c>
      <c r="AI149" s="184">
        <v>12</v>
      </c>
      <c r="AJ149" s="184">
        <v>66</v>
      </c>
      <c r="AK149" s="184">
        <v>67</v>
      </c>
      <c r="AL149" s="184">
        <v>54</v>
      </c>
      <c r="AM149" s="184">
        <v>30</v>
      </c>
      <c r="AN149" s="184">
        <v>15</v>
      </c>
      <c r="AO149" s="184">
        <v>10</v>
      </c>
      <c r="AP149" s="184">
        <v>7</v>
      </c>
      <c r="AQ149" s="336">
        <v>261</v>
      </c>
      <c r="AR149" s="323">
        <v>1</v>
      </c>
      <c r="AS149" s="323">
        <v>3899</v>
      </c>
      <c r="AT149" s="323">
        <v>4968</v>
      </c>
      <c r="AU149" s="323">
        <v>2588</v>
      </c>
      <c r="AV149" s="323">
        <v>1184</v>
      </c>
      <c r="AW149" s="323">
        <v>463</v>
      </c>
      <c r="AX149" s="323">
        <v>222</v>
      </c>
      <c r="AY149" s="323">
        <v>100</v>
      </c>
      <c r="AZ149" s="323">
        <v>8</v>
      </c>
      <c r="BA149" s="323">
        <v>13433</v>
      </c>
      <c r="BB149" s="331">
        <v>1</v>
      </c>
      <c r="BC149" s="330">
        <v>43</v>
      </c>
      <c r="BD149" s="330">
        <v>119</v>
      </c>
      <c r="BE149" s="330">
        <v>75</v>
      </c>
      <c r="BF149" s="330">
        <v>41</v>
      </c>
      <c r="BG149" s="330">
        <v>19</v>
      </c>
      <c r="BH149" s="330">
        <v>14</v>
      </c>
      <c r="BI149" s="330">
        <v>2</v>
      </c>
      <c r="BJ149" s="330">
        <v>0</v>
      </c>
      <c r="BK149" s="328">
        <v>314</v>
      </c>
      <c r="BL149" s="323">
        <v>0</v>
      </c>
      <c r="BM149" s="323">
        <v>8</v>
      </c>
      <c r="BN149" s="323">
        <v>10</v>
      </c>
      <c r="BO149" s="323">
        <v>4</v>
      </c>
      <c r="BP149" s="323">
        <v>2</v>
      </c>
      <c r="BQ149" s="323">
        <v>5</v>
      </c>
      <c r="BR149" s="323">
        <v>6</v>
      </c>
      <c r="BS149" s="323">
        <v>11</v>
      </c>
      <c r="BT149" s="323">
        <v>3</v>
      </c>
      <c r="BU149" s="323">
        <v>49</v>
      </c>
      <c r="BV149" s="329" t="s">
        <v>934</v>
      </c>
      <c r="BW149" s="330">
        <v>100</v>
      </c>
      <c r="BX149" s="330">
        <v>65</v>
      </c>
      <c r="BY149" s="330">
        <v>36</v>
      </c>
      <c r="BZ149" s="330">
        <v>29</v>
      </c>
      <c r="CA149" s="330">
        <v>14</v>
      </c>
      <c r="CB149" s="330">
        <v>8</v>
      </c>
      <c r="CC149" s="330">
        <v>4</v>
      </c>
      <c r="CD149" s="330">
        <v>2</v>
      </c>
      <c r="CE149" s="328">
        <v>258</v>
      </c>
      <c r="CF149" s="322" t="s">
        <v>934</v>
      </c>
      <c r="CG149" s="323">
        <v>3</v>
      </c>
      <c r="CH149" s="323">
        <v>2</v>
      </c>
      <c r="CI149" s="323">
        <v>1</v>
      </c>
      <c r="CJ149" s="323">
        <v>0</v>
      </c>
      <c r="CK149" s="323">
        <v>0</v>
      </c>
      <c r="CL149" s="323">
        <v>0</v>
      </c>
      <c r="CM149" s="323">
        <v>0</v>
      </c>
      <c r="CN149" s="323">
        <v>0</v>
      </c>
      <c r="CO149" s="323">
        <v>6</v>
      </c>
      <c r="CP149" s="329" t="s">
        <v>934</v>
      </c>
      <c r="CQ149" s="330">
        <v>143</v>
      </c>
      <c r="CR149" s="330">
        <v>99</v>
      </c>
      <c r="CS149" s="330">
        <v>56</v>
      </c>
      <c r="CT149" s="330">
        <v>35</v>
      </c>
      <c r="CU149" s="330">
        <v>13</v>
      </c>
      <c r="CV149" s="330">
        <v>12</v>
      </c>
      <c r="CW149" s="330">
        <v>11</v>
      </c>
      <c r="CX149" s="330">
        <v>0</v>
      </c>
      <c r="CY149" s="328">
        <v>369</v>
      </c>
      <c r="CZ149" s="322" t="s">
        <v>934</v>
      </c>
      <c r="DA149" s="323">
        <v>0</v>
      </c>
      <c r="DB149" s="323">
        <v>0</v>
      </c>
      <c r="DC149" s="323">
        <v>0</v>
      </c>
      <c r="DD149" s="323">
        <v>0</v>
      </c>
      <c r="DE149" s="323">
        <v>0</v>
      </c>
      <c r="DF149" s="323">
        <v>0</v>
      </c>
      <c r="DG149" s="323">
        <v>0</v>
      </c>
      <c r="DH149" s="323">
        <v>0</v>
      </c>
      <c r="DI149" s="323">
        <v>0</v>
      </c>
      <c r="DJ149" s="337">
        <v>0</v>
      </c>
      <c r="DK149" s="644">
        <v>36330.6</v>
      </c>
      <c r="DL149" s="614">
        <v>7780</v>
      </c>
      <c r="DM149" s="614">
        <v>14253</v>
      </c>
      <c r="DN149" s="614">
        <v>10173</v>
      </c>
      <c r="DO149" s="614">
        <v>6502</v>
      </c>
      <c r="DP149" s="614">
        <v>3621</v>
      </c>
      <c r="DQ149" s="614">
        <v>1876</v>
      </c>
      <c r="DR149" s="614">
        <v>937</v>
      </c>
      <c r="DS149" s="615">
        <v>64</v>
      </c>
      <c r="DT149" s="607">
        <f t="shared" si="2"/>
        <v>45206</v>
      </c>
      <c r="DU149" s="342"/>
      <c r="EC149" s="646"/>
      <c r="EF149" s="127"/>
      <c r="EG149" s="124"/>
    </row>
    <row r="150" spans="1:137" ht="15">
      <c r="A150" s="22">
        <v>142</v>
      </c>
      <c r="B150" s="23" t="s">
        <v>412</v>
      </c>
      <c r="C150" s="24" t="s">
        <v>413</v>
      </c>
      <c r="D150" s="613"/>
      <c r="E150" s="626">
        <v>2121</v>
      </c>
      <c r="F150" s="626">
        <v>5085</v>
      </c>
      <c r="G150" s="626">
        <v>10982</v>
      </c>
      <c r="H150" s="626">
        <v>11827</v>
      </c>
      <c r="I150" s="626">
        <v>9907</v>
      </c>
      <c r="J150" s="626">
        <v>7390</v>
      </c>
      <c r="K150" s="626">
        <v>6831</v>
      </c>
      <c r="L150" s="626">
        <v>733</v>
      </c>
      <c r="M150" s="627">
        <v>54876</v>
      </c>
      <c r="N150" s="322"/>
      <c r="O150" s="323">
        <v>204</v>
      </c>
      <c r="P150" s="323">
        <v>149</v>
      </c>
      <c r="Q150" s="323">
        <v>204</v>
      </c>
      <c r="R150" s="323">
        <v>172</v>
      </c>
      <c r="S150" s="323">
        <v>114</v>
      </c>
      <c r="T150" s="323">
        <v>75</v>
      </c>
      <c r="U150" s="323">
        <v>66</v>
      </c>
      <c r="V150" s="323">
        <v>23</v>
      </c>
      <c r="W150" s="323">
        <v>1007</v>
      </c>
      <c r="X150" s="329" t="s">
        <v>934</v>
      </c>
      <c r="Y150" s="330">
        <v>0</v>
      </c>
      <c r="Z150" s="330">
        <v>0</v>
      </c>
      <c r="AA150" s="330">
        <v>0</v>
      </c>
      <c r="AB150" s="330">
        <v>0</v>
      </c>
      <c r="AC150" s="330">
        <v>0</v>
      </c>
      <c r="AD150" s="330">
        <v>0</v>
      </c>
      <c r="AE150" s="330">
        <v>0</v>
      </c>
      <c r="AF150" s="330">
        <v>0</v>
      </c>
      <c r="AG150" s="328">
        <v>0</v>
      </c>
      <c r="AH150" s="329" t="s">
        <v>934</v>
      </c>
      <c r="AI150" s="184">
        <v>0</v>
      </c>
      <c r="AJ150" s="184">
        <v>5</v>
      </c>
      <c r="AK150" s="184">
        <v>31</v>
      </c>
      <c r="AL150" s="184">
        <v>52</v>
      </c>
      <c r="AM150" s="184">
        <v>48</v>
      </c>
      <c r="AN150" s="184">
        <v>45</v>
      </c>
      <c r="AO150" s="184">
        <v>55</v>
      </c>
      <c r="AP150" s="184">
        <v>23</v>
      </c>
      <c r="AQ150" s="336">
        <v>259</v>
      </c>
      <c r="AR150" s="323">
        <v>0</v>
      </c>
      <c r="AS150" s="323">
        <v>1134</v>
      </c>
      <c r="AT150" s="323">
        <v>2925</v>
      </c>
      <c r="AU150" s="323">
        <v>4090</v>
      </c>
      <c r="AV150" s="323">
        <v>3311</v>
      </c>
      <c r="AW150" s="323">
        <v>2226</v>
      </c>
      <c r="AX150" s="323">
        <v>1220</v>
      </c>
      <c r="AY150" s="323">
        <v>828</v>
      </c>
      <c r="AZ150" s="323">
        <v>60</v>
      </c>
      <c r="BA150" s="323">
        <v>15794</v>
      </c>
      <c r="BB150" s="331">
        <v>0</v>
      </c>
      <c r="BC150" s="330">
        <v>9</v>
      </c>
      <c r="BD150" s="330">
        <v>21</v>
      </c>
      <c r="BE150" s="330">
        <v>75</v>
      </c>
      <c r="BF150" s="330">
        <v>99</v>
      </c>
      <c r="BG150" s="330">
        <v>77</v>
      </c>
      <c r="BH150" s="330">
        <v>52</v>
      </c>
      <c r="BI150" s="330">
        <v>44</v>
      </c>
      <c r="BJ150" s="330">
        <v>1</v>
      </c>
      <c r="BK150" s="328">
        <v>378</v>
      </c>
      <c r="BL150" s="323">
        <v>0</v>
      </c>
      <c r="BM150" s="323">
        <v>2</v>
      </c>
      <c r="BN150" s="323">
        <v>1</v>
      </c>
      <c r="BO150" s="323">
        <v>0</v>
      </c>
      <c r="BP150" s="323">
        <v>3</v>
      </c>
      <c r="BQ150" s="323">
        <v>3</v>
      </c>
      <c r="BR150" s="323">
        <v>6</v>
      </c>
      <c r="BS150" s="323">
        <v>15</v>
      </c>
      <c r="BT150" s="323">
        <v>2</v>
      </c>
      <c r="BU150" s="323">
        <v>32</v>
      </c>
      <c r="BV150" s="329" t="s">
        <v>934</v>
      </c>
      <c r="BW150" s="330">
        <v>22</v>
      </c>
      <c r="BX150" s="330">
        <v>37</v>
      </c>
      <c r="BY150" s="330">
        <v>51</v>
      </c>
      <c r="BZ150" s="330">
        <v>71</v>
      </c>
      <c r="CA150" s="330">
        <v>67</v>
      </c>
      <c r="CB150" s="330">
        <v>50</v>
      </c>
      <c r="CC150" s="330">
        <v>72</v>
      </c>
      <c r="CD150" s="330">
        <v>24</v>
      </c>
      <c r="CE150" s="328">
        <v>394</v>
      </c>
      <c r="CF150" s="322" t="s">
        <v>934</v>
      </c>
      <c r="CG150" s="323">
        <v>0</v>
      </c>
      <c r="CH150" s="323">
        <v>0</v>
      </c>
      <c r="CI150" s="323">
        <v>0</v>
      </c>
      <c r="CJ150" s="323">
        <v>0</v>
      </c>
      <c r="CK150" s="323">
        <v>0</v>
      </c>
      <c r="CL150" s="323">
        <v>0</v>
      </c>
      <c r="CM150" s="323">
        <v>0</v>
      </c>
      <c r="CN150" s="323">
        <v>0</v>
      </c>
      <c r="CO150" s="323">
        <v>0</v>
      </c>
      <c r="CP150" s="329" t="s">
        <v>934</v>
      </c>
      <c r="CQ150" s="330">
        <v>100</v>
      </c>
      <c r="CR150" s="330">
        <v>87</v>
      </c>
      <c r="CS150" s="330">
        <v>83</v>
      </c>
      <c r="CT150" s="330">
        <v>77</v>
      </c>
      <c r="CU150" s="330">
        <v>42</v>
      </c>
      <c r="CV150" s="330">
        <v>36</v>
      </c>
      <c r="CW150" s="330">
        <v>38</v>
      </c>
      <c r="CX150" s="330">
        <v>6</v>
      </c>
      <c r="CY150" s="328">
        <v>469</v>
      </c>
      <c r="CZ150" s="322" t="s">
        <v>934</v>
      </c>
      <c r="DA150" s="323">
        <v>0</v>
      </c>
      <c r="DB150" s="323">
        <v>0</v>
      </c>
      <c r="DC150" s="323">
        <v>0</v>
      </c>
      <c r="DD150" s="323">
        <v>0</v>
      </c>
      <c r="DE150" s="323">
        <v>0</v>
      </c>
      <c r="DF150" s="323">
        <v>0</v>
      </c>
      <c r="DG150" s="323">
        <v>0</v>
      </c>
      <c r="DH150" s="323">
        <v>0</v>
      </c>
      <c r="DI150" s="323">
        <v>0</v>
      </c>
      <c r="DJ150" s="337">
        <v>0</v>
      </c>
      <c r="DK150" s="644">
        <v>57170.1</v>
      </c>
      <c r="DL150" s="614">
        <v>2158</v>
      </c>
      <c r="DM150" s="614">
        <v>5222</v>
      </c>
      <c r="DN150" s="614">
        <v>11122</v>
      </c>
      <c r="DO150" s="614">
        <v>11860</v>
      </c>
      <c r="DP150" s="614">
        <v>9926</v>
      </c>
      <c r="DQ150" s="614">
        <v>7399</v>
      </c>
      <c r="DR150" s="614">
        <v>6823</v>
      </c>
      <c r="DS150" s="615">
        <v>732</v>
      </c>
      <c r="DT150" s="607">
        <f t="shared" si="2"/>
        <v>55242</v>
      </c>
      <c r="DU150" s="342"/>
      <c r="EC150" s="646"/>
      <c r="EF150" s="126"/>
      <c r="EG150" s="124"/>
    </row>
    <row r="151" spans="1:137" ht="15">
      <c r="A151" s="22">
        <v>143</v>
      </c>
      <c r="B151" s="23" t="s">
        <v>414</v>
      </c>
      <c r="C151" s="24" t="s">
        <v>415</v>
      </c>
      <c r="D151" s="613"/>
      <c r="E151" s="626">
        <v>1222</v>
      </c>
      <c r="F151" s="626">
        <v>8331</v>
      </c>
      <c r="G151" s="626">
        <v>22678</v>
      </c>
      <c r="H151" s="626">
        <v>35125</v>
      </c>
      <c r="I151" s="626">
        <v>14070</v>
      </c>
      <c r="J151" s="626">
        <v>5235</v>
      </c>
      <c r="K151" s="626">
        <v>3710</v>
      </c>
      <c r="L151" s="626">
        <v>769</v>
      </c>
      <c r="M151" s="627">
        <v>91140</v>
      </c>
      <c r="N151" s="322"/>
      <c r="O151" s="323">
        <v>44</v>
      </c>
      <c r="P151" s="323">
        <v>215</v>
      </c>
      <c r="Q151" s="323">
        <v>555</v>
      </c>
      <c r="R151" s="323">
        <v>652</v>
      </c>
      <c r="S151" s="323">
        <v>247</v>
      </c>
      <c r="T151" s="323">
        <v>75</v>
      </c>
      <c r="U151" s="323">
        <v>47</v>
      </c>
      <c r="V151" s="323">
        <v>17</v>
      </c>
      <c r="W151" s="323">
        <v>1852</v>
      </c>
      <c r="X151" s="329" t="s">
        <v>934</v>
      </c>
      <c r="Y151" s="330">
        <v>0</v>
      </c>
      <c r="Z151" s="330">
        <v>0</v>
      </c>
      <c r="AA151" s="330">
        <v>0</v>
      </c>
      <c r="AB151" s="330">
        <v>0</v>
      </c>
      <c r="AC151" s="330">
        <v>0</v>
      </c>
      <c r="AD151" s="330">
        <v>0</v>
      </c>
      <c r="AE151" s="330">
        <v>0</v>
      </c>
      <c r="AF151" s="330">
        <v>0</v>
      </c>
      <c r="AG151" s="328">
        <v>0</v>
      </c>
      <c r="AH151" s="329" t="s">
        <v>934</v>
      </c>
      <c r="AI151" s="184">
        <v>0</v>
      </c>
      <c r="AJ151" s="184">
        <v>27</v>
      </c>
      <c r="AK151" s="184">
        <v>60</v>
      </c>
      <c r="AL151" s="184">
        <v>236</v>
      </c>
      <c r="AM151" s="184">
        <v>141</v>
      </c>
      <c r="AN151" s="184">
        <v>40</v>
      </c>
      <c r="AO151" s="184">
        <v>26</v>
      </c>
      <c r="AP151" s="184">
        <v>8</v>
      </c>
      <c r="AQ151" s="336">
        <v>538</v>
      </c>
      <c r="AR151" s="323">
        <v>0</v>
      </c>
      <c r="AS151" s="323">
        <v>611</v>
      </c>
      <c r="AT151" s="323">
        <v>4281</v>
      </c>
      <c r="AU151" s="323">
        <v>8684</v>
      </c>
      <c r="AV151" s="323">
        <v>8938</v>
      </c>
      <c r="AW151" s="323">
        <v>3035</v>
      </c>
      <c r="AX151" s="323">
        <v>1070</v>
      </c>
      <c r="AY151" s="323">
        <v>576</v>
      </c>
      <c r="AZ151" s="323">
        <v>48</v>
      </c>
      <c r="BA151" s="323">
        <v>27243</v>
      </c>
      <c r="BB151" s="331">
        <v>0</v>
      </c>
      <c r="BC151" s="330">
        <v>5</v>
      </c>
      <c r="BD151" s="330">
        <v>45</v>
      </c>
      <c r="BE151" s="330">
        <v>159</v>
      </c>
      <c r="BF151" s="330">
        <v>241</v>
      </c>
      <c r="BG151" s="330">
        <v>95</v>
      </c>
      <c r="BH151" s="330">
        <v>35</v>
      </c>
      <c r="BI151" s="330">
        <v>14</v>
      </c>
      <c r="BJ151" s="330">
        <v>4</v>
      </c>
      <c r="BK151" s="328">
        <v>598</v>
      </c>
      <c r="BL151" s="323">
        <v>0</v>
      </c>
      <c r="BM151" s="323">
        <v>1</v>
      </c>
      <c r="BN151" s="323">
        <v>3</v>
      </c>
      <c r="BO151" s="323">
        <v>11</v>
      </c>
      <c r="BP151" s="323">
        <v>16</v>
      </c>
      <c r="BQ151" s="323">
        <v>17</v>
      </c>
      <c r="BR151" s="323">
        <v>13</v>
      </c>
      <c r="BS151" s="323">
        <v>15</v>
      </c>
      <c r="BT151" s="323">
        <v>14</v>
      </c>
      <c r="BU151" s="323">
        <v>90</v>
      </c>
      <c r="BV151" s="329" t="s">
        <v>934</v>
      </c>
      <c r="BW151" s="330">
        <v>34</v>
      </c>
      <c r="BX151" s="330">
        <v>66</v>
      </c>
      <c r="BY151" s="330">
        <v>230</v>
      </c>
      <c r="BZ151" s="330">
        <v>353</v>
      </c>
      <c r="CA151" s="330">
        <v>182</v>
      </c>
      <c r="CB151" s="330">
        <v>91</v>
      </c>
      <c r="CC151" s="330">
        <v>50</v>
      </c>
      <c r="CD151" s="330">
        <v>6</v>
      </c>
      <c r="CE151" s="328">
        <v>1012</v>
      </c>
      <c r="CF151" s="322" t="s">
        <v>934</v>
      </c>
      <c r="CG151" s="323">
        <v>0</v>
      </c>
      <c r="CH151" s="323">
        <v>2</v>
      </c>
      <c r="CI151" s="323">
        <v>2</v>
      </c>
      <c r="CJ151" s="323">
        <v>0</v>
      </c>
      <c r="CK151" s="323">
        <v>0</v>
      </c>
      <c r="CL151" s="323">
        <v>0</v>
      </c>
      <c r="CM151" s="323">
        <v>0</v>
      </c>
      <c r="CN151" s="323">
        <v>0</v>
      </c>
      <c r="CO151" s="323">
        <v>4</v>
      </c>
      <c r="CP151" s="329" t="s">
        <v>934</v>
      </c>
      <c r="CQ151" s="330">
        <v>0</v>
      </c>
      <c r="CR151" s="330">
        <v>0</v>
      </c>
      <c r="CS151" s="330">
        <v>0</v>
      </c>
      <c r="CT151" s="330">
        <v>0</v>
      </c>
      <c r="CU151" s="330">
        <v>0</v>
      </c>
      <c r="CV151" s="330">
        <v>0</v>
      </c>
      <c r="CW151" s="330">
        <v>0</v>
      </c>
      <c r="CX151" s="330">
        <v>0</v>
      </c>
      <c r="CY151" s="328">
        <v>0</v>
      </c>
      <c r="CZ151" s="322" t="s">
        <v>934</v>
      </c>
      <c r="DA151" s="323">
        <v>25</v>
      </c>
      <c r="DB151" s="323">
        <v>72</v>
      </c>
      <c r="DC151" s="323">
        <v>162</v>
      </c>
      <c r="DD151" s="323">
        <v>164</v>
      </c>
      <c r="DE151" s="323">
        <v>63</v>
      </c>
      <c r="DF151" s="323">
        <v>32</v>
      </c>
      <c r="DG151" s="323">
        <v>17</v>
      </c>
      <c r="DH151" s="323">
        <v>6</v>
      </c>
      <c r="DI151" s="323">
        <v>541</v>
      </c>
      <c r="DJ151" s="337">
        <v>107.9</v>
      </c>
      <c r="DK151" s="644">
        <v>85563.8</v>
      </c>
      <c r="DL151" s="614">
        <v>1289</v>
      </c>
      <c r="DM151" s="614">
        <v>8321</v>
      </c>
      <c r="DN151" s="614">
        <v>23425</v>
      </c>
      <c r="DO151" s="614">
        <v>35456</v>
      </c>
      <c r="DP151" s="614">
        <v>14141</v>
      </c>
      <c r="DQ151" s="614">
        <v>5232</v>
      </c>
      <c r="DR151" s="614">
        <v>3720</v>
      </c>
      <c r="DS151" s="615">
        <v>779</v>
      </c>
      <c r="DT151" s="607">
        <f t="shared" si="2"/>
        <v>92363</v>
      </c>
      <c r="DU151" s="342"/>
      <c r="EC151" s="646"/>
      <c r="EF151" s="126"/>
      <c r="EG151" s="124"/>
    </row>
    <row r="152" spans="1:137" ht="15">
      <c r="A152" s="22">
        <v>144</v>
      </c>
      <c r="B152" s="23" t="s">
        <v>416</v>
      </c>
      <c r="C152" s="24" t="s">
        <v>417</v>
      </c>
      <c r="D152" s="613"/>
      <c r="E152" s="629">
        <v>10706</v>
      </c>
      <c r="F152" s="629">
        <v>17675</v>
      </c>
      <c r="G152" s="629">
        <v>16434</v>
      </c>
      <c r="H152" s="629">
        <v>10781</v>
      </c>
      <c r="I152" s="629">
        <v>8034</v>
      </c>
      <c r="J152" s="629">
        <v>3283</v>
      </c>
      <c r="K152" s="629">
        <v>1588</v>
      </c>
      <c r="L152" s="629">
        <v>136</v>
      </c>
      <c r="M152" s="627">
        <v>68637</v>
      </c>
      <c r="N152" s="322"/>
      <c r="O152" s="323">
        <v>697</v>
      </c>
      <c r="P152" s="323">
        <v>690</v>
      </c>
      <c r="Q152" s="323">
        <v>454</v>
      </c>
      <c r="R152" s="323">
        <v>407</v>
      </c>
      <c r="S152" s="323">
        <v>361</v>
      </c>
      <c r="T152" s="323">
        <v>168</v>
      </c>
      <c r="U152" s="323">
        <v>54</v>
      </c>
      <c r="V152" s="323">
        <v>7</v>
      </c>
      <c r="W152" s="323">
        <v>2838</v>
      </c>
      <c r="X152" s="329" t="s">
        <v>934</v>
      </c>
      <c r="Y152" s="330">
        <v>0</v>
      </c>
      <c r="Z152" s="330">
        <v>0</v>
      </c>
      <c r="AA152" s="330">
        <v>0</v>
      </c>
      <c r="AB152" s="330">
        <v>0</v>
      </c>
      <c r="AC152" s="330">
        <v>0</v>
      </c>
      <c r="AD152" s="330">
        <v>0</v>
      </c>
      <c r="AE152" s="330">
        <v>0</v>
      </c>
      <c r="AF152" s="330">
        <v>0</v>
      </c>
      <c r="AG152" s="328">
        <v>0</v>
      </c>
      <c r="AH152" s="329" t="s">
        <v>934</v>
      </c>
      <c r="AI152" s="184">
        <v>25</v>
      </c>
      <c r="AJ152" s="184">
        <v>99</v>
      </c>
      <c r="AK152" s="184">
        <v>130</v>
      </c>
      <c r="AL152" s="184">
        <v>89</v>
      </c>
      <c r="AM152" s="184">
        <v>52</v>
      </c>
      <c r="AN152" s="184">
        <v>30</v>
      </c>
      <c r="AO152" s="184">
        <v>22</v>
      </c>
      <c r="AP152" s="184">
        <v>6</v>
      </c>
      <c r="AQ152" s="336">
        <v>453</v>
      </c>
      <c r="AR152" s="323">
        <v>14</v>
      </c>
      <c r="AS152" s="323">
        <v>5333</v>
      </c>
      <c r="AT152" s="323">
        <v>5850</v>
      </c>
      <c r="AU152" s="323">
        <v>4208</v>
      </c>
      <c r="AV152" s="323">
        <v>1745</v>
      </c>
      <c r="AW152" s="323">
        <v>949</v>
      </c>
      <c r="AX152" s="323">
        <v>288</v>
      </c>
      <c r="AY152" s="323">
        <v>137</v>
      </c>
      <c r="AZ152" s="323">
        <v>10</v>
      </c>
      <c r="BA152" s="323">
        <v>18534</v>
      </c>
      <c r="BB152" s="331">
        <v>0</v>
      </c>
      <c r="BC152" s="330">
        <v>54</v>
      </c>
      <c r="BD152" s="330">
        <v>97</v>
      </c>
      <c r="BE152" s="330">
        <v>107</v>
      </c>
      <c r="BF152" s="330">
        <v>61</v>
      </c>
      <c r="BG152" s="330">
        <v>43</v>
      </c>
      <c r="BH152" s="330">
        <v>14</v>
      </c>
      <c r="BI152" s="330">
        <v>5</v>
      </c>
      <c r="BJ152" s="330">
        <v>0</v>
      </c>
      <c r="BK152" s="328">
        <v>381</v>
      </c>
      <c r="BL152" s="323">
        <v>0</v>
      </c>
      <c r="BM152" s="323">
        <v>3</v>
      </c>
      <c r="BN152" s="323">
        <v>6</v>
      </c>
      <c r="BO152" s="323">
        <v>7</v>
      </c>
      <c r="BP152" s="323">
        <v>7</v>
      </c>
      <c r="BQ152" s="323">
        <v>6</v>
      </c>
      <c r="BR152" s="323">
        <v>12</v>
      </c>
      <c r="BS152" s="323">
        <v>10</v>
      </c>
      <c r="BT152" s="323">
        <v>3</v>
      </c>
      <c r="BU152" s="323">
        <v>54</v>
      </c>
      <c r="BV152" s="329" t="s">
        <v>934</v>
      </c>
      <c r="BW152" s="330">
        <v>54</v>
      </c>
      <c r="BX152" s="330">
        <v>90</v>
      </c>
      <c r="BY152" s="330">
        <v>64</v>
      </c>
      <c r="BZ152" s="330">
        <v>37</v>
      </c>
      <c r="CA152" s="330">
        <v>51</v>
      </c>
      <c r="CB152" s="330">
        <v>20</v>
      </c>
      <c r="CC152" s="330">
        <v>6</v>
      </c>
      <c r="CD152" s="330">
        <v>4</v>
      </c>
      <c r="CE152" s="328">
        <v>326</v>
      </c>
      <c r="CF152" s="322" t="s">
        <v>934</v>
      </c>
      <c r="CG152" s="323">
        <v>0</v>
      </c>
      <c r="CH152" s="323">
        <v>0</v>
      </c>
      <c r="CI152" s="323">
        <v>0</v>
      </c>
      <c r="CJ152" s="323">
        <v>0</v>
      </c>
      <c r="CK152" s="323">
        <v>0</v>
      </c>
      <c r="CL152" s="323">
        <v>0</v>
      </c>
      <c r="CM152" s="323">
        <v>0</v>
      </c>
      <c r="CN152" s="323">
        <v>0</v>
      </c>
      <c r="CO152" s="323">
        <v>0</v>
      </c>
      <c r="CP152" s="329" t="s">
        <v>934</v>
      </c>
      <c r="CQ152" s="330">
        <v>168</v>
      </c>
      <c r="CR152" s="330">
        <v>126</v>
      </c>
      <c r="CS152" s="330">
        <v>112</v>
      </c>
      <c r="CT152" s="330">
        <v>38</v>
      </c>
      <c r="CU152" s="330">
        <v>34</v>
      </c>
      <c r="CV152" s="330">
        <v>34</v>
      </c>
      <c r="CW152" s="330">
        <v>16</v>
      </c>
      <c r="CX152" s="330">
        <v>2</v>
      </c>
      <c r="CY152" s="328">
        <v>530</v>
      </c>
      <c r="CZ152" s="322" t="s">
        <v>934</v>
      </c>
      <c r="DA152" s="323">
        <v>0</v>
      </c>
      <c r="DB152" s="323">
        <v>0</v>
      </c>
      <c r="DC152" s="323">
        <v>0</v>
      </c>
      <c r="DD152" s="323">
        <v>0</v>
      </c>
      <c r="DE152" s="323">
        <v>0</v>
      </c>
      <c r="DF152" s="323">
        <v>0</v>
      </c>
      <c r="DG152" s="323">
        <v>0</v>
      </c>
      <c r="DH152" s="323">
        <v>0</v>
      </c>
      <c r="DI152" s="323">
        <v>0</v>
      </c>
      <c r="DJ152" s="337">
        <v>406</v>
      </c>
      <c r="DK152" s="644">
        <v>57365.7</v>
      </c>
      <c r="DL152" s="616">
        <v>10787</v>
      </c>
      <c r="DM152" s="616">
        <v>17828</v>
      </c>
      <c r="DN152" s="616">
        <v>16600</v>
      </c>
      <c r="DO152" s="616">
        <v>10871</v>
      </c>
      <c r="DP152" s="616">
        <v>8128</v>
      </c>
      <c r="DQ152" s="616">
        <v>3275</v>
      </c>
      <c r="DR152" s="616">
        <v>1603</v>
      </c>
      <c r="DS152" s="617">
        <v>138</v>
      </c>
      <c r="DT152" s="607">
        <f t="shared" si="2"/>
        <v>69230</v>
      </c>
      <c r="DU152" s="342"/>
      <c r="EC152" s="646"/>
      <c r="EF152" s="125"/>
      <c r="EG152" s="124"/>
    </row>
    <row r="153" spans="1:137" ht="15">
      <c r="A153" s="22">
        <v>145</v>
      </c>
      <c r="B153" s="23" t="s">
        <v>418</v>
      </c>
      <c r="C153" s="24" t="s">
        <v>419</v>
      </c>
      <c r="D153" s="613"/>
      <c r="E153" s="628">
        <v>21557</v>
      </c>
      <c r="F153" s="628">
        <v>5019</v>
      </c>
      <c r="G153" s="628">
        <v>5573</v>
      </c>
      <c r="H153" s="628">
        <v>2750</v>
      </c>
      <c r="I153" s="628">
        <v>881</v>
      </c>
      <c r="J153" s="628">
        <v>268</v>
      </c>
      <c r="K153" s="628">
        <v>173</v>
      </c>
      <c r="L153" s="628">
        <v>14</v>
      </c>
      <c r="M153" s="627">
        <v>36235</v>
      </c>
      <c r="N153" s="322"/>
      <c r="O153" s="323">
        <v>1042</v>
      </c>
      <c r="P153" s="323">
        <v>124</v>
      </c>
      <c r="Q153" s="323">
        <v>80</v>
      </c>
      <c r="R153" s="323">
        <v>21</v>
      </c>
      <c r="S153" s="323">
        <v>13</v>
      </c>
      <c r="T153" s="323">
        <v>3</v>
      </c>
      <c r="U153" s="323">
        <v>6</v>
      </c>
      <c r="V153" s="323">
        <v>0</v>
      </c>
      <c r="W153" s="323">
        <v>1289</v>
      </c>
      <c r="X153" s="329" t="s">
        <v>934</v>
      </c>
      <c r="Y153" s="330">
        <v>97</v>
      </c>
      <c r="Z153" s="330">
        <v>5</v>
      </c>
      <c r="AA153" s="330">
        <v>0</v>
      </c>
      <c r="AB153" s="330">
        <v>0</v>
      </c>
      <c r="AC153" s="330">
        <v>1</v>
      </c>
      <c r="AD153" s="330">
        <v>0</v>
      </c>
      <c r="AE153" s="330">
        <v>0</v>
      </c>
      <c r="AF153" s="330">
        <v>0</v>
      </c>
      <c r="AG153" s="328">
        <v>103</v>
      </c>
      <c r="AH153" s="329" t="s">
        <v>934</v>
      </c>
      <c r="AI153" s="184">
        <v>18</v>
      </c>
      <c r="AJ153" s="184">
        <v>19</v>
      </c>
      <c r="AK153" s="184">
        <v>52</v>
      </c>
      <c r="AL153" s="184">
        <v>21</v>
      </c>
      <c r="AM153" s="184">
        <v>5</v>
      </c>
      <c r="AN153" s="184">
        <v>9</v>
      </c>
      <c r="AO153" s="184">
        <v>5</v>
      </c>
      <c r="AP153" s="184">
        <v>9</v>
      </c>
      <c r="AQ153" s="336">
        <v>138</v>
      </c>
      <c r="AR153" s="323">
        <v>3</v>
      </c>
      <c r="AS153" s="323">
        <v>8134</v>
      </c>
      <c r="AT153" s="323">
        <v>1498</v>
      </c>
      <c r="AU153" s="323">
        <v>1184</v>
      </c>
      <c r="AV153" s="323">
        <v>418</v>
      </c>
      <c r="AW153" s="323">
        <v>120</v>
      </c>
      <c r="AX153" s="323">
        <v>36</v>
      </c>
      <c r="AY153" s="323">
        <v>24</v>
      </c>
      <c r="AZ153" s="323">
        <v>1</v>
      </c>
      <c r="BA153" s="323">
        <v>11418</v>
      </c>
      <c r="BB153" s="331">
        <v>1</v>
      </c>
      <c r="BC153" s="330">
        <v>198</v>
      </c>
      <c r="BD153" s="330">
        <v>68</v>
      </c>
      <c r="BE153" s="330">
        <v>65</v>
      </c>
      <c r="BF153" s="330">
        <v>26</v>
      </c>
      <c r="BG153" s="330">
        <v>15</v>
      </c>
      <c r="BH153" s="330">
        <v>1</v>
      </c>
      <c r="BI153" s="330">
        <v>0</v>
      </c>
      <c r="BJ153" s="330">
        <v>0</v>
      </c>
      <c r="BK153" s="328">
        <v>374</v>
      </c>
      <c r="BL153" s="323">
        <v>1</v>
      </c>
      <c r="BM153" s="323">
        <v>15</v>
      </c>
      <c r="BN153" s="323">
        <v>6</v>
      </c>
      <c r="BO153" s="323">
        <v>11</v>
      </c>
      <c r="BP153" s="323">
        <v>12</v>
      </c>
      <c r="BQ153" s="323">
        <v>11</v>
      </c>
      <c r="BR153" s="323">
        <v>11</v>
      </c>
      <c r="BS153" s="323">
        <v>16</v>
      </c>
      <c r="BT153" s="323">
        <v>2</v>
      </c>
      <c r="BU153" s="323">
        <v>85</v>
      </c>
      <c r="BV153" s="329" t="s">
        <v>934</v>
      </c>
      <c r="BW153" s="330">
        <v>20</v>
      </c>
      <c r="BX153" s="330">
        <v>1</v>
      </c>
      <c r="BY153" s="330">
        <v>1</v>
      </c>
      <c r="BZ153" s="330">
        <v>2</v>
      </c>
      <c r="CA153" s="330">
        <v>0</v>
      </c>
      <c r="CB153" s="330">
        <v>0</v>
      </c>
      <c r="CC153" s="330">
        <v>1</v>
      </c>
      <c r="CD153" s="330">
        <v>0</v>
      </c>
      <c r="CE153" s="328">
        <v>25</v>
      </c>
      <c r="CF153" s="322" t="s">
        <v>934</v>
      </c>
      <c r="CG153" s="323">
        <v>1020</v>
      </c>
      <c r="CH153" s="323">
        <v>94</v>
      </c>
      <c r="CI153" s="323">
        <v>69</v>
      </c>
      <c r="CJ153" s="323">
        <v>29</v>
      </c>
      <c r="CK153" s="323">
        <v>13</v>
      </c>
      <c r="CL153" s="323">
        <v>4</v>
      </c>
      <c r="CM153" s="323">
        <v>7</v>
      </c>
      <c r="CN153" s="323">
        <v>0</v>
      </c>
      <c r="CO153" s="323">
        <v>1236</v>
      </c>
      <c r="CP153" s="329" t="s">
        <v>934</v>
      </c>
      <c r="CQ153" s="330">
        <v>0</v>
      </c>
      <c r="CR153" s="330">
        <v>0</v>
      </c>
      <c r="CS153" s="330">
        <v>0</v>
      </c>
      <c r="CT153" s="330">
        <v>0</v>
      </c>
      <c r="CU153" s="330">
        <v>0</v>
      </c>
      <c r="CV153" s="330">
        <v>0</v>
      </c>
      <c r="CW153" s="330">
        <v>0</v>
      </c>
      <c r="CX153" s="330">
        <v>0</v>
      </c>
      <c r="CY153" s="328">
        <v>0</v>
      </c>
      <c r="CZ153" s="322" t="s">
        <v>934</v>
      </c>
      <c r="DA153" s="323">
        <v>0</v>
      </c>
      <c r="DB153" s="323">
        <v>0</v>
      </c>
      <c r="DC153" s="323">
        <v>0</v>
      </c>
      <c r="DD153" s="323">
        <v>0</v>
      </c>
      <c r="DE153" s="323">
        <v>0</v>
      </c>
      <c r="DF153" s="323">
        <v>0</v>
      </c>
      <c r="DG153" s="323">
        <v>0</v>
      </c>
      <c r="DH153" s="323">
        <v>0</v>
      </c>
      <c r="DI153" s="323">
        <v>0</v>
      </c>
      <c r="DJ153" s="337">
        <v>0</v>
      </c>
      <c r="DK153" s="644">
        <v>24112.7</v>
      </c>
      <c r="DL153" s="614">
        <v>21524</v>
      </c>
      <c r="DM153" s="614">
        <v>5087</v>
      </c>
      <c r="DN153" s="614">
        <v>5572</v>
      </c>
      <c r="DO153" s="614">
        <v>2749</v>
      </c>
      <c r="DP153" s="614">
        <v>892</v>
      </c>
      <c r="DQ153" s="614">
        <v>268</v>
      </c>
      <c r="DR153" s="614">
        <v>171</v>
      </c>
      <c r="DS153" s="615">
        <v>15</v>
      </c>
      <c r="DT153" s="607">
        <f t="shared" si="2"/>
        <v>36278</v>
      </c>
      <c r="DU153" s="342"/>
      <c r="EC153" s="646"/>
      <c r="EF153" s="126"/>
      <c r="EG153" s="124"/>
    </row>
    <row r="154" spans="1:137" ht="15">
      <c r="A154" s="22">
        <v>146</v>
      </c>
      <c r="B154" s="23" t="s">
        <v>420</v>
      </c>
      <c r="C154" s="24" t="s">
        <v>421</v>
      </c>
      <c r="D154" s="613"/>
      <c r="E154" s="628">
        <v>16995</v>
      </c>
      <c r="F154" s="628">
        <v>20461</v>
      </c>
      <c r="G154" s="628">
        <v>10443</v>
      </c>
      <c r="H154" s="628">
        <v>3895</v>
      </c>
      <c r="I154" s="628">
        <v>2008</v>
      </c>
      <c r="J154" s="628">
        <v>874</v>
      </c>
      <c r="K154" s="628">
        <v>323</v>
      </c>
      <c r="L154" s="628">
        <v>12</v>
      </c>
      <c r="M154" s="627">
        <v>55011</v>
      </c>
      <c r="N154" s="322"/>
      <c r="O154" s="323">
        <v>686</v>
      </c>
      <c r="P154" s="323">
        <v>453</v>
      </c>
      <c r="Q154" s="323">
        <v>150</v>
      </c>
      <c r="R154" s="323">
        <v>72</v>
      </c>
      <c r="S154" s="323">
        <v>31</v>
      </c>
      <c r="T154" s="323">
        <v>9</v>
      </c>
      <c r="U154" s="323">
        <v>4</v>
      </c>
      <c r="V154" s="323">
        <v>1</v>
      </c>
      <c r="W154" s="323">
        <v>1406</v>
      </c>
      <c r="X154" s="331">
        <v>0</v>
      </c>
      <c r="Y154" s="330">
        <v>0</v>
      </c>
      <c r="Z154" s="330">
        <v>0</v>
      </c>
      <c r="AA154" s="330">
        <v>0</v>
      </c>
      <c r="AB154" s="330">
        <v>0</v>
      </c>
      <c r="AC154" s="330">
        <v>0</v>
      </c>
      <c r="AD154" s="330">
        <v>0</v>
      </c>
      <c r="AE154" s="330">
        <v>0</v>
      </c>
      <c r="AF154" s="330">
        <v>0</v>
      </c>
      <c r="AG154" s="328">
        <v>0</v>
      </c>
      <c r="AH154" s="331">
        <v>0</v>
      </c>
      <c r="AI154" s="184">
        <v>42</v>
      </c>
      <c r="AJ154" s="184">
        <v>171</v>
      </c>
      <c r="AK154" s="184">
        <v>110</v>
      </c>
      <c r="AL154" s="184">
        <v>54</v>
      </c>
      <c r="AM154" s="184">
        <v>22</v>
      </c>
      <c r="AN154" s="184">
        <v>9</v>
      </c>
      <c r="AO154" s="184">
        <v>12</v>
      </c>
      <c r="AP154" s="184">
        <v>6</v>
      </c>
      <c r="AQ154" s="336">
        <v>426</v>
      </c>
      <c r="AR154" s="323">
        <v>19</v>
      </c>
      <c r="AS154" s="323">
        <v>9478</v>
      </c>
      <c r="AT154" s="323">
        <v>6826</v>
      </c>
      <c r="AU154" s="323">
        <v>2603</v>
      </c>
      <c r="AV154" s="323">
        <v>883</v>
      </c>
      <c r="AW154" s="323">
        <v>354</v>
      </c>
      <c r="AX154" s="323">
        <v>120</v>
      </c>
      <c r="AY154" s="323">
        <v>34</v>
      </c>
      <c r="AZ154" s="323">
        <v>0</v>
      </c>
      <c r="BA154" s="323">
        <v>20317</v>
      </c>
      <c r="BB154" s="331">
        <v>0</v>
      </c>
      <c r="BC154" s="330">
        <v>85</v>
      </c>
      <c r="BD154" s="330">
        <v>147</v>
      </c>
      <c r="BE154" s="330">
        <v>69</v>
      </c>
      <c r="BF154" s="330">
        <v>25</v>
      </c>
      <c r="BG154" s="330">
        <v>10</v>
      </c>
      <c r="BH154" s="330">
        <v>6</v>
      </c>
      <c r="BI154" s="330">
        <v>2</v>
      </c>
      <c r="BJ154" s="330">
        <v>0</v>
      </c>
      <c r="BK154" s="328">
        <v>344</v>
      </c>
      <c r="BL154" s="323">
        <v>1</v>
      </c>
      <c r="BM154" s="323">
        <v>8</v>
      </c>
      <c r="BN154" s="323">
        <v>15</v>
      </c>
      <c r="BO154" s="323">
        <v>22</v>
      </c>
      <c r="BP154" s="323">
        <v>11</v>
      </c>
      <c r="BQ154" s="323">
        <v>8</v>
      </c>
      <c r="BR154" s="323">
        <v>9</v>
      </c>
      <c r="BS154" s="323">
        <v>14</v>
      </c>
      <c r="BT154" s="323">
        <v>3</v>
      </c>
      <c r="BU154" s="323">
        <v>91</v>
      </c>
      <c r="BV154" s="331">
        <v>0</v>
      </c>
      <c r="BW154" s="330">
        <v>119</v>
      </c>
      <c r="BX154" s="330">
        <v>98</v>
      </c>
      <c r="BY154" s="330">
        <v>68</v>
      </c>
      <c r="BZ154" s="330">
        <v>26</v>
      </c>
      <c r="CA154" s="330">
        <v>8</v>
      </c>
      <c r="CB154" s="330">
        <v>2</v>
      </c>
      <c r="CC154" s="330">
        <v>3</v>
      </c>
      <c r="CD154" s="330">
        <v>0</v>
      </c>
      <c r="CE154" s="328">
        <v>324</v>
      </c>
      <c r="CF154" s="323">
        <v>0</v>
      </c>
      <c r="CG154" s="323">
        <v>0</v>
      </c>
      <c r="CH154" s="323">
        <v>0</v>
      </c>
      <c r="CI154" s="323">
        <v>0</v>
      </c>
      <c r="CJ154" s="323">
        <v>0</v>
      </c>
      <c r="CK154" s="323">
        <v>0</v>
      </c>
      <c r="CL154" s="323">
        <v>0</v>
      </c>
      <c r="CM154" s="323">
        <v>0</v>
      </c>
      <c r="CN154" s="323">
        <v>0</v>
      </c>
      <c r="CO154" s="323">
        <v>0</v>
      </c>
      <c r="CP154" s="331">
        <v>0</v>
      </c>
      <c r="CQ154" s="330">
        <v>337</v>
      </c>
      <c r="CR154" s="330">
        <v>219</v>
      </c>
      <c r="CS154" s="330">
        <v>124</v>
      </c>
      <c r="CT154" s="330">
        <v>38</v>
      </c>
      <c r="CU154" s="330">
        <v>16</v>
      </c>
      <c r="CV154" s="330">
        <v>5</v>
      </c>
      <c r="CW154" s="330">
        <v>1</v>
      </c>
      <c r="CX154" s="330">
        <v>0</v>
      </c>
      <c r="CY154" s="328">
        <v>740</v>
      </c>
      <c r="CZ154" s="323">
        <v>0</v>
      </c>
      <c r="DA154" s="323">
        <v>0</v>
      </c>
      <c r="DB154" s="323">
        <v>0</v>
      </c>
      <c r="DC154" s="323">
        <v>0</v>
      </c>
      <c r="DD154" s="323">
        <v>0</v>
      </c>
      <c r="DE154" s="323">
        <v>0</v>
      </c>
      <c r="DF154" s="323">
        <v>0</v>
      </c>
      <c r="DG154" s="323">
        <v>0</v>
      </c>
      <c r="DH154" s="323">
        <v>0</v>
      </c>
      <c r="DI154" s="323">
        <v>0</v>
      </c>
      <c r="DJ154" s="337">
        <v>0</v>
      </c>
      <c r="DK154" s="644">
        <v>39447.9</v>
      </c>
      <c r="DL154" s="614">
        <v>17323</v>
      </c>
      <c r="DM154" s="614">
        <v>21067</v>
      </c>
      <c r="DN154" s="614">
        <v>10580</v>
      </c>
      <c r="DO154" s="614">
        <v>3990</v>
      </c>
      <c r="DP154" s="614">
        <v>2028</v>
      </c>
      <c r="DQ154" s="614">
        <v>880</v>
      </c>
      <c r="DR154" s="614">
        <v>323</v>
      </c>
      <c r="DS154" s="615">
        <v>13</v>
      </c>
      <c r="DT154" s="607">
        <f t="shared" si="2"/>
        <v>56204</v>
      </c>
      <c r="DU154" s="342"/>
      <c r="EC154" s="646"/>
      <c r="EF154" s="126"/>
      <c r="EG154" s="124"/>
    </row>
    <row r="155" spans="1:137" ht="15">
      <c r="A155" s="22">
        <v>147</v>
      </c>
      <c r="B155" s="23" t="s">
        <v>422</v>
      </c>
      <c r="C155" s="24" t="s">
        <v>423</v>
      </c>
      <c r="D155" s="613"/>
      <c r="E155" s="628">
        <v>9253</v>
      </c>
      <c r="F155" s="628">
        <v>16227</v>
      </c>
      <c r="G155" s="628">
        <v>16045</v>
      </c>
      <c r="H155" s="628">
        <v>12596</v>
      </c>
      <c r="I155" s="628">
        <v>6792</v>
      </c>
      <c r="J155" s="628">
        <v>2860</v>
      </c>
      <c r="K155" s="628">
        <v>1384</v>
      </c>
      <c r="L155" s="628">
        <v>128</v>
      </c>
      <c r="M155" s="627">
        <v>65285</v>
      </c>
      <c r="N155" s="322"/>
      <c r="O155" s="323">
        <v>541</v>
      </c>
      <c r="P155" s="323">
        <v>458</v>
      </c>
      <c r="Q155" s="323">
        <v>316</v>
      </c>
      <c r="R155" s="323">
        <v>224</v>
      </c>
      <c r="S155" s="323">
        <v>127</v>
      </c>
      <c r="T155" s="323">
        <v>61</v>
      </c>
      <c r="U155" s="323">
        <v>28</v>
      </c>
      <c r="V155" s="323">
        <v>4</v>
      </c>
      <c r="W155" s="323">
        <v>1759</v>
      </c>
      <c r="X155" s="331">
        <v>0</v>
      </c>
      <c r="Y155" s="330">
        <v>0</v>
      </c>
      <c r="Z155" s="330">
        <v>0</v>
      </c>
      <c r="AA155" s="330">
        <v>0</v>
      </c>
      <c r="AB155" s="330">
        <v>0</v>
      </c>
      <c r="AC155" s="330">
        <v>0</v>
      </c>
      <c r="AD155" s="330">
        <v>0</v>
      </c>
      <c r="AE155" s="330">
        <v>0</v>
      </c>
      <c r="AF155" s="330">
        <v>0</v>
      </c>
      <c r="AG155" s="328">
        <v>0</v>
      </c>
      <c r="AH155" s="331">
        <v>0</v>
      </c>
      <c r="AI155" s="184">
        <v>13</v>
      </c>
      <c r="AJ155" s="184">
        <v>57</v>
      </c>
      <c r="AK155" s="184">
        <v>78</v>
      </c>
      <c r="AL155" s="184">
        <v>121</v>
      </c>
      <c r="AM155" s="184">
        <v>85</v>
      </c>
      <c r="AN155" s="184">
        <v>41</v>
      </c>
      <c r="AO155" s="184">
        <v>37</v>
      </c>
      <c r="AP155" s="184">
        <v>34</v>
      </c>
      <c r="AQ155" s="336">
        <v>466</v>
      </c>
      <c r="AR155" s="323">
        <v>5</v>
      </c>
      <c r="AS155" s="323">
        <v>5076</v>
      </c>
      <c r="AT155" s="323">
        <v>6520</v>
      </c>
      <c r="AU155" s="323">
        <v>4983</v>
      </c>
      <c r="AV155" s="323">
        <v>3275</v>
      </c>
      <c r="AW155" s="323">
        <v>1354</v>
      </c>
      <c r="AX155" s="323">
        <v>469</v>
      </c>
      <c r="AY155" s="323">
        <v>177</v>
      </c>
      <c r="AZ155" s="323">
        <v>5</v>
      </c>
      <c r="BA155" s="323">
        <v>21864</v>
      </c>
      <c r="BB155" s="331">
        <v>0</v>
      </c>
      <c r="BC155" s="330">
        <v>30</v>
      </c>
      <c r="BD155" s="330">
        <v>105</v>
      </c>
      <c r="BE155" s="330">
        <v>109</v>
      </c>
      <c r="BF155" s="330">
        <v>58</v>
      </c>
      <c r="BG155" s="330">
        <v>38</v>
      </c>
      <c r="BH155" s="330">
        <v>16</v>
      </c>
      <c r="BI155" s="330">
        <v>6</v>
      </c>
      <c r="BJ155" s="330">
        <v>0</v>
      </c>
      <c r="BK155" s="328">
        <v>362</v>
      </c>
      <c r="BL155" s="323">
        <v>0</v>
      </c>
      <c r="BM155" s="323">
        <v>1</v>
      </c>
      <c r="BN155" s="323">
        <v>7</v>
      </c>
      <c r="BO155" s="323">
        <v>11</v>
      </c>
      <c r="BP155" s="323">
        <v>8</v>
      </c>
      <c r="BQ155" s="323">
        <v>13</v>
      </c>
      <c r="BR155" s="323">
        <v>34</v>
      </c>
      <c r="BS155" s="323">
        <v>47</v>
      </c>
      <c r="BT155" s="323">
        <v>11</v>
      </c>
      <c r="BU155" s="323">
        <v>132</v>
      </c>
      <c r="BV155" s="331">
        <v>0</v>
      </c>
      <c r="BW155" s="330">
        <v>692</v>
      </c>
      <c r="BX155" s="330">
        <v>572</v>
      </c>
      <c r="BY155" s="330">
        <v>621</v>
      </c>
      <c r="BZ155" s="330">
        <v>543</v>
      </c>
      <c r="CA155" s="330">
        <v>442</v>
      </c>
      <c r="CB155" s="330">
        <v>232</v>
      </c>
      <c r="CC155" s="330">
        <v>183</v>
      </c>
      <c r="CD155" s="330">
        <v>16</v>
      </c>
      <c r="CE155" s="328">
        <v>3301</v>
      </c>
      <c r="CF155" s="323">
        <v>0</v>
      </c>
      <c r="CG155" s="323">
        <v>0</v>
      </c>
      <c r="CH155" s="323">
        <v>0</v>
      </c>
      <c r="CI155" s="323">
        <v>0</v>
      </c>
      <c r="CJ155" s="323">
        <v>0</v>
      </c>
      <c r="CK155" s="323">
        <v>0</v>
      </c>
      <c r="CL155" s="323">
        <v>0</v>
      </c>
      <c r="CM155" s="323">
        <v>0</v>
      </c>
      <c r="CN155" s="323">
        <v>0</v>
      </c>
      <c r="CO155" s="323">
        <v>0</v>
      </c>
      <c r="CP155" s="331">
        <v>0</v>
      </c>
      <c r="CQ155" s="330">
        <v>223</v>
      </c>
      <c r="CR155" s="330">
        <v>196</v>
      </c>
      <c r="CS155" s="330">
        <v>139</v>
      </c>
      <c r="CT155" s="330">
        <v>123</v>
      </c>
      <c r="CU155" s="330">
        <v>80</v>
      </c>
      <c r="CV155" s="330">
        <v>38</v>
      </c>
      <c r="CW155" s="330">
        <v>16</v>
      </c>
      <c r="CX155" s="330">
        <v>2</v>
      </c>
      <c r="CY155" s="328">
        <v>817</v>
      </c>
      <c r="CZ155" s="323">
        <v>0</v>
      </c>
      <c r="DA155" s="323">
        <v>0</v>
      </c>
      <c r="DB155" s="323">
        <v>0</v>
      </c>
      <c r="DC155" s="323">
        <v>0</v>
      </c>
      <c r="DD155" s="323">
        <v>0</v>
      </c>
      <c r="DE155" s="323">
        <v>0</v>
      </c>
      <c r="DF155" s="323">
        <v>0</v>
      </c>
      <c r="DG155" s="323">
        <v>0</v>
      </c>
      <c r="DH155" s="323">
        <v>0</v>
      </c>
      <c r="DI155" s="323">
        <v>0</v>
      </c>
      <c r="DJ155" s="337">
        <v>0</v>
      </c>
      <c r="DK155" s="644">
        <v>52560.5</v>
      </c>
      <c r="DL155" s="614">
        <v>9487</v>
      </c>
      <c r="DM155" s="614">
        <v>16595</v>
      </c>
      <c r="DN155" s="614">
        <v>16154</v>
      </c>
      <c r="DO155" s="614">
        <v>12691</v>
      </c>
      <c r="DP155" s="614">
        <v>6807</v>
      </c>
      <c r="DQ155" s="614">
        <v>2892</v>
      </c>
      <c r="DR155" s="614">
        <v>1404</v>
      </c>
      <c r="DS155" s="615">
        <v>125</v>
      </c>
      <c r="DT155" s="607">
        <f t="shared" si="2"/>
        <v>66155</v>
      </c>
      <c r="DU155" s="342"/>
      <c r="EC155" s="646"/>
      <c r="EF155" s="123"/>
      <c r="EG155" s="124"/>
    </row>
    <row r="156" spans="1:137" ht="15">
      <c r="A156" s="22">
        <v>148</v>
      </c>
      <c r="B156" s="23" t="s">
        <v>424</v>
      </c>
      <c r="C156" s="24" t="s">
        <v>425</v>
      </c>
      <c r="D156" s="613"/>
      <c r="E156" s="629">
        <v>13</v>
      </c>
      <c r="F156" s="629">
        <v>29</v>
      </c>
      <c r="G156" s="629">
        <v>79</v>
      </c>
      <c r="H156" s="629">
        <v>228</v>
      </c>
      <c r="I156" s="629">
        <v>326</v>
      </c>
      <c r="J156" s="629">
        <v>304</v>
      </c>
      <c r="K156" s="629">
        <v>149</v>
      </c>
      <c r="L156" s="629">
        <v>8</v>
      </c>
      <c r="M156" s="627">
        <v>1136</v>
      </c>
      <c r="N156" s="322"/>
      <c r="O156" s="323">
        <v>0</v>
      </c>
      <c r="P156" s="323">
        <v>0</v>
      </c>
      <c r="Q156" s="323">
        <v>3</v>
      </c>
      <c r="R156" s="323">
        <v>1</v>
      </c>
      <c r="S156" s="323">
        <v>5</v>
      </c>
      <c r="T156" s="323">
        <v>2</v>
      </c>
      <c r="U156" s="323">
        <v>3</v>
      </c>
      <c r="V156" s="323">
        <v>0</v>
      </c>
      <c r="W156" s="323">
        <v>14</v>
      </c>
      <c r="X156" s="329" t="s">
        <v>934</v>
      </c>
      <c r="Y156" s="330">
        <v>0</v>
      </c>
      <c r="Z156" s="330">
        <v>0</v>
      </c>
      <c r="AA156" s="330">
        <v>0</v>
      </c>
      <c r="AB156" s="330">
        <v>0</v>
      </c>
      <c r="AC156" s="330">
        <v>0</v>
      </c>
      <c r="AD156" s="330">
        <v>0</v>
      </c>
      <c r="AE156" s="330">
        <v>0</v>
      </c>
      <c r="AF156" s="330">
        <v>0</v>
      </c>
      <c r="AG156" s="328">
        <v>0</v>
      </c>
      <c r="AH156" s="329" t="s">
        <v>934</v>
      </c>
      <c r="AI156" s="184">
        <v>0</v>
      </c>
      <c r="AJ156" s="184">
        <v>0</v>
      </c>
      <c r="AK156" s="184">
        <v>0</v>
      </c>
      <c r="AL156" s="184">
        <v>0</v>
      </c>
      <c r="AM156" s="184">
        <v>1</v>
      </c>
      <c r="AN156" s="184">
        <v>0</v>
      </c>
      <c r="AO156" s="184">
        <v>1</v>
      </c>
      <c r="AP156" s="184">
        <v>0</v>
      </c>
      <c r="AQ156" s="336">
        <v>2</v>
      </c>
      <c r="AR156" s="323">
        <v>0</v>
      </c>
      <c r="AS156" s="323">
        <v>5</v>
      </c>
      <c r="AT156" s="323">
        <v>4</v>
      </c>
      <c r="AU156" s="323">
        <v>21</v>
      </c>
      <c r="AV156" s="323">
        <v>79</v>
      </c>
      <c r="AW156" s="323">
        <v>75</v>
      </c>
      <c r="AX156" s="323">
        <v>55</v>
      </c>
      <c r="AY156" s="323">
        <v>20</v>
      </c>
      <c r="AZ156" s="323">
        <v>1</v>
      </c>
      <c r="BA156" s="323">
        <v>260</v>
      </c>
      <c r="BB156" s="331">
        <v>0</v>
      </c>
      <c r="BC156" s="330">
        <v>0</v>
      </c>
      <c r="BD156" s="330">
        <v>0</v>
      </c>
      <c r="BE156" s="330">
        <v>0</v>
      </c>
      <c r="BF156" s="330">
        <v>0</v>
      </c>
      <c r="BG156" s="330">
        <v>2</v>
      </c>
      <c r="BH156" s="330">
        <v>0</v>
      </c>
      <c r="BI156" s="330">
        <v>0</v>
      </c>
      <c r="BJ156" s="330">
        <v>0</v>
      </c>
      <c r="BK156" s="328">
        <v>2</v>
      </c>
      <c r="BL156" s="323">
        <v>0</v>
      </c>
      <c r="BM156" s="323">
        <v>0</v>
      </c>
      <c r="BN156" s="323">
        <v>0</v>
      </c>
      <c r="BO156" s="323">
        <v>0</v>
      </c>
      <c r="BP156" s="323">
        <v>0</v>
      </c>
      <c r="BQ156" s="323">
        <v>0</v>
      </c>
      <c r="BR156" s="323">
        <v>0</v>
      </c>
      <c r="BS156" s="323">
        <v>0</v>
      </c>
      <c r="BT156" s="323">
        <v>0</v>
      </c>
      <c r="BU156" s="323">
        <v>0</v>
      </c>
      <c r="BV156" s="329" t="s">
        <v>934</v>
      </c>
      <c r="BW156" s="330">
        <v>1</v>
      </c>
      <c r="BX156" s="330">
        <v>8</v>
      </c>
      <c r="BY156" s="330">
        <v>13</v>
      </c>
      <c r="BZ156" s="330">
        <v>46</v>
      </c>
      <c r="CA156" s="330">
        <v>57</v>
      </c>
      <c r="CB156" s="330">
        <v>63</v>
      </c>
      <c r="CC156" s="330">
        <v>33</v>
      </c>
      <c r="CD156" s="330">
        <v>0</v>
      </c>
      <c r="CE156" s="328">
        <v>221</v>
      </c>
      <c r="CF156" s="322" t="s">
        <v>934</v>
      </c>
      <c r="CG156" s="323">
        <v>0</v>
      </c>
      <c r="CH156" s="323">
        <v>0</v>
      </c>
      <c r="CI156" s="323">
        <v>0</v>
      </c>
      <c r="CJ156" s="323">
        <v>0</v>
      </c>
      <c r="CK156" s="323">
        <v>0</v>
      </c>
      <c r="CL156" s="323">
        <v>0</v>
      </c>
      <c r="CM156" s="323">
        <v>0</v>
      </c>
      <c r="CN156" s="323">
        <v>0</v>
      </c>
      <c r="CO156" s="323">
        <v>0</v>
      </c>
      <c r="CP156" s="329" t="s">
        <v>934</v>
      </c>
      <c r="CQ156" s="330">
        <v>0</v>
      </c>
      <c r="CR156" s="330">
        <v>0</v>
      </c>
      <c r="CS156" s="330">
        <v>0</v>
      </c>
      <c r="CT156" s="330">
        <v>0</v>
      </c>
      <c r="CU156" s="330">
        <v>0</v>
      </c>
      <c r="CV156" s="330">
        <v>0</v>
      </c>
      <c r="CW156" s="330">
        <v>0</v>
      </c>
      <c r="CX156" s="330">
        <v>0</v>
      </c>
      <c r="CY156" s="328">
        <v>0</v>
      </c>
      <c r="CZ156" s="322" t="s">
        <v>934</v>
      </c>
      <c r="DA156" s="323">
        <v>0</v>
      </c>
      <c r="DB156" s="323">
        <v>0</v>
      </c>
      <c r="DC156" s="323">
        <v>0</v>
      </c>
      <c r="DD156" s="323">
        <v>0</v>
      </c>
      <c r="DE156" s="323">
        <v>0</v>
      </c>
      <c r="DF156" s="323">
        <v>0</v>
      </c>
      <c r="DG156" s="323">
        <v>0</v>
      </c>
      <c r="DH156" s="323">
        <v>0</v>
      </c>
      <c r="DI156" s="323">
        <v>0</v>
      </c>
      <c r="DJ156" s="337">
        <v>0</v>
      </c>
      <c r="DK156" s="644">
        <v>1195</v>
      </c>
      <c r="DL156" s="616">
        <v>12</v>
      </c>
      <c r="DM156" s="616">
        <v>29</v>
      </c>
      <c r="DN156" s="616">
        <v>83</v>
      </c>
      <c r="DO156" s="616">
        <v>233</v>
      </c>
      <c r="DP156" s="616">
        <v>334</v>
      </c>
      <c r="DQ156" s="616">
        <v>305</v>
      </c>
      <c r="DR156" s="616">
        <v>147</v>
      </c>
      <c r="DS156" s="617">
        <v>8</v>
      </c>
      <c r="DT156" s="607">
        <f t="shared" si="2"/>
        <v>1151</v>
      </c>
      <c r="DU156" s="342"/>
      <c r="EC156" s="646"/>
      <c r="EF156" s="125"/>
      <c r="EG156" s="124"/>
    </row>
    <row r="157" spans="1:137" ht="15">
      <c r="A157" s="22">
        <v>149</v>
      </c>
      <c r="B157" s="23" t="s">
        <v>426</v>
      </c>
      <c r="C157" s="24" t="s">
        <v>427</v>
      </c>
      <c r="D157" s="613"/>
      <c r="E157" s="629">
        <v>986</v>
      </c>
      <c r="F157" s="629">
        <v>5727</v>
      </c>
      <c r="G157" s="629">
        <v>27580</v>
      </c>
      <c r="H157" s="629">
        <v>27836</v>
      </c>
      <c r="I157" s="629">
        <v>13410</v>
      </c>
      <c r="J157" s="629">
        <v>7097</v>
      </c>
      <c r="K157" s="629">
        <v>6427</v>
      </c>
      <c r="L157" s="629">
        <v>839</v>
      </c>
      <c r="M157" s="637">
        <v>89902</v>
      </c>
      <c r="N157" s="322"/>
      <c r="O157" s="323">
        <v>115</v>
      </c>
      <c r="P157" s="323">
        <v>286</v>
      </c>
      <c r="Q157" s="323">
        <v>1155</v>
      </c>
      <c r="R157" s="323">
        <v>1126</v>
      </c>
      <c r="S157" s="323">
        <v>554</v>
      </c>
      <c r="T157" s="323">
        <v>319</v>
      </c>
      <c r="U157" s="323">
        <v>136</v>
      </c>
      <c r="V157" s="323">
        <v>19</v>
      </c>
      <c r="W157" s="323">
        <v>3710</v>
      </c>
      <c r="X157" s="329" t="s">
        <v>934</v>
      </c>
      <c r="Y157" s="330">
        <v>2</v>
      </c>
      <c r="Z157" s="330">
        <v>8</v>
      </c>
      <c r="AA157" s="330">
        <v>40</v>
      </c>
      <c r="AB157" s="330">
        <v>54</v>
      </c>
      <c r="AC157" s="330">
        <v>20</v>
      </c>
      <c r="AD157" s="330">
        <v>16</v>
      </c>
      <c r="AE157" s="330">
        <v>11</v>
      </c>
      <c r="AF157" s="330">
        <v>1</v>
      </c>
      <c r="AG157" s="328">
        <v>152</v>
      </c>
      <c r="AH157" s="329" t="s">
        <v>934</v>
      </c>
      <c r="AI157" s="184">
        <v>0</v>
      </c>
      <c r="AJ157" s="184">
        <v>7</v>
      </c>
      <c r="AK157" s="184">
        <v>33</v>
      </c>
      <c r="AL157" s="184">
        <v>67</v>
      </c>
      <c r="AM157" s="184">
        <v>44</v>
      </c>
      <c r="AN157" s="184">
        <v>37</v>
      </c>
      <c r="AO157" s="184">
        <v>19</v>
      </c>
      <c r="AP157" s="184">
        <v>3</v>
      </c>
      <c r="AQ157" s="336">
        <v>210</v>
      </c>
      <c r="AR157" s="323">
        <v>0</v>
      </c>
      <c r="AS157" s="323">
        <v>381</v>
      </c>
      <c r="AT157" s="323">
        <v>3445</v>
      </c>
      <c r="AU157" s="323">
        <v>14921</v>
      </c>
      <c r="AV157" s="323">
        <v>11637</v>
      </c>
      <c r="AW157" s="323">
        <v>4674</v>
      </c>
      <c r="AX157" s="323">
        <v>1936</v>
      </c>
      <c r="AY157" s="323">
        <v>1294</v>
      </c>
      <c r="AZ157" s="323">
        <v>90</v>
      </c>
      <c r="BA157" s="323">
        <v>38378</v>
      </c>
      <c r="BB157" s="331">
        <v>0</v>
      </c>
      <c r="BC157" s="330">
        <v>0</v>
      </c>
      <c r="BD157" s="330">
        <v>31</v>
      </c>
      <c r="BE157" s="330">
        <v>209</v>
      </c>
      <c r="BF157" s="330">
        <v>240</v>
      </c>
      <c r="BG157" s="330">
        <v>120</v>
      </c>
      <c r="BH157" s="330">
        <v>53</v>
      </c>
      <c r="BI157" s="330">
        <v>31</v>
      </c>
      <c r="BJ157" s="330">
        <v>4</v>
      </c>
      <c r="BK157" s="328">
        <v>688</v>
      </c>
      <c r="BL157" s="323">
        <v>0</v>
      </c>
      <c r="BM157" s="323">
        <v>2</v>
      </c>
      <c r="BN157" s="323">
        <v>3</v>
      </c>
      <c r="BO157" s="323">
        <v>7</v>
      </c>
      <c r="BP157" s="323">
        <v>9</v>
      </c>
      <c r="BQ157" s="323">
        <v>12</v>
      </c>
      <c r="BR157" s="323">
        <v>9</v>
      </c>
      <c r="BS157" s="323">
        <v>39</v>
      </c>
      <c r="BT157" s="323">
        <v>25</v>
      </c>
      <c r="BU157" s="323">
        <v>106</v>
      </c>
      <c r="BV157" s="329" t="s">
        <v>934</v>
      </c>
      <c r="BW157" s="330">
        <v>32</v>
      </c>
      <c r="BX157" s="330">
        <v>32</v>
      </c>
      <c r="BY157" s="330">
        <v>214</v>
      </c>
      <c r="BZ157" s="330">
        <v>285</v>
      </c>
      <c r="CA157" s="330">
        <v>256</v>
      </c>
      <c r="CB157" s="330">
        <v>170</v>
      </c>
      <c r="CC157" s="330">
        <v>99</v>
      </c>
      <c r="CD157" s="330">
        <v>11</v>
      </c>
      <c r="CE157" s="328">
        <v>1099</v>
      </c>
      <c r="CF157" s="322" t="s">
        <v>934</v>
      </c>
      <c r="CG157" s="323">
        <v>0</v>
      </c>
      <c r="CH157" s="323">
        <v>0</v>
      </c>
      <c r="CI157" s="323">
        <v>6</v>
      </c>
      <c r="CJ157" s="323">
        <v>3</v>
      </c>
      <c r="CK157" s="323">
        <v>0</v>
      </c>
      <c r="CL157" s="323">
        <v>1</v>
      </c>
      <c r="CM157" s="323">
        <v>0</v>
      </c>
      <c r="CN157" s="323">
        <v>0</v>
      </c>
      <c r="CO157" s="323">
        <v>10</v>
      </c>
      <c r="CP157" s="329" t="s">
        <v>934</v>
      </c>
      <c r="CQ157" s="330">
        <v>29</v>
      </c>
      <c r="CR157" s="330">
        <v>102</v>
      </c>
      <c r="CS157" s="330">
        <v>265</v>
      </c>
      <c r="CT157" s="330">
        <v>332</v>
      </c>
      <c r="CU157" s="330">
        <v>131</v>
      </c>
      <c r="CV157" s="330">
        <v>105</v>
      </c>
      <c r="CW157" s="330">
        <v>67</v>
      </c>
      <c r="CX157" s="330">
        <v>16</v>
      </c>
      <c r="CY157" s="328">
        <v>1047</v>
      </c>
      <c r="CZ157" s="322" t="s">
        <v>934</v>
      </c>
      <c r="DA157" s="323">
        <v>0</v>
      </c>
      <c r="DB157" s="323">
        <v>0</v>
      </c>
      <c r="DC157" s="323">
        <v>0</v>
      </c>
      <c r="DD157" s="323">
        <v>0</v>
      </c>
      <c r="DE157" s="323">
        <v>0</v>
      </c>
      <c r="DF157" s="323">
        <v>0</v>
      </c>
      <c r="DG157" s="323">
        <v>0</v>
      </c>
      <c r="DH157" s="323">
        <v>0</v>
      </c>
      <c r="DI157" s="323">
        <v>0</v>
      </c>
      <c r="DJ157" s="337">
        <v>0</v>
      </c>
      <c r="DK157" s="644">
        <v>81869.8</v>
      </c>
      <c r="DL157" s="616">
        <v>1174</v>
      </c>
      <c r="DM157" s="616">
        <v>5769</v>
      </c>
      <c r="DN157" s="616">
        <v>28164</v>
      </c>
      <c r="DO157" s="616">
        <v>28485</v>
      </c>
      <c r="DP157" s="616">
        <v>13877</v>
      </c>
      <c r="DQ157" s="616">
        <v>7218</v>
      </c>
      <c r="DR157" s="616">
        <v>6459</v>
      </c>
      <c r="DS157" s="617">
        <v>843</v>
      </c>
      <c r="DT157" s="608">
        <f t="shared" si="2"/>
        <v>91989</v>
      </c>
      <c r="DU157" s="342"/>
      <c r="EC157" s="646"/>
      <c r="EF157" s="125"/>
      <c r="EG157" s="128"/>
    </row>
    <row r="158" spans="1:137" ht="15">
      <c r="A158" s="22">
        <v>150</v>
      </c>
      <c r="B158" s="23" t="s">
        <v>428</v>
      </c>
      <c r="C158" s="24" t="s">
        <v>435</v>
      </c>
      <c r="D158" s="613"/>
      <c r="E158" s="626">
        <v>3960</v>
      </c>
      <c r="F158" s="626">
        <v>5271</v>
      </c>
      <c r="G158" s="626">
        <v>8783</v>
      </c>
      <c r="H158" s="626">
        <v>5071</v>
      </c>
      <c r="I158" s="626">
        <v>4499</v>
      </c>
      <c r="J158" s="626">
        <v>3140</v>
      </c>
      <c r="K158" s="626">
        <v>2484</v>
      </c>
      <c r="L158" s="626">
        <v>354</v>
      </c>
      <c r="M158" s="631">
        <v>33562</v>
      </c>
      <c r="N158" s="322"/>
      <c r="O158" s="323">
        <v>321</v>
      </c>
      <c r="P158" s="323">
        <v>613</v>
      </c>
      <c r="Q158" s="323">
        <v>760</v>
      </c>
      <c r="R158" s="323">
        <v>369</v>
      </c>
      <c r="S158" s="323">
        <v>182</v>
      </c>
      <c r="T158" s="323">
        <v>82</v>
      </c>
      <c r="U158" s="323">
        <v>73</v>
      </c>
      <c r="V158" s="323">
        <v>37</v>
      </c>
      <c r="W158" s="323">
        <v>2437</v>
      </c>
      <c r="X158" s="329" t="s">
        <v>934</v>
      </c>
      <c r="Y158" s="330">
        <v>0</v>
      </c>
      <c r="Z158" s="330">
        <v>0</v>
      </c>
      <c r="AA158" s="330">
        <v>0</v>
      </c>
      <c r="AB158" s="330">
        <v>0</v>
      </c>
      <c r="AC158" s="330">
        <v>0</v>
      </c>
      <c r="AD158" s="330">
        <v>0</v>
      </c>
      <c r="AE158" s="330">
        <v>0</v>
      </c>
      <c r="AF158" s="330">
        <v>0</v>
      </c>
      <c r="AG158" s="328">
        <v>0</v>
      </c>
      <c r="AH158" s="329" t="s">
        <v>934</v>
      </c>
      <c r="AI158" s="184">
        <v>11</v>
      </c>
      <c r="AJ158" s="184">
        <v>26</v>
      </c>
      <c r="AK158" s="184">
        <v>51</v>
      </c>
      <c r="AL158" s="184">
        <v>37</v>
      </c>
      <c r="AM158" s="184">
        <v>32</v>
      </c>
      <c r="AN158" s="184">
        <v>21</v>
      </c>
      <c r="AO158" s="184">
        <v>25</v>
      </c>
      <c r="AP158" s="184">
        <v>10</v>
      </c>
      <c r="AQ158" s="336">
        <v>213</v>
      </c>
      <c r="AR158" s="323">
        <v>1</v>
      </c>
      <c r="AS158" s="323">
        <v>1980</v>
      </c>
      <c r="AT158" s="323">
        <v>2026</v>
      </c>
      <c r="AU158" s="323">
        <v>2566</v>
      </c>
      <c r="AV158" s="323">
        <v>1324</v>
      </c>
      <c r="AW158" s="323">
        <v>894</v>
      </c>
      <c r="AX158" s="323">
        <v>470</v>
      </c>
      <c r="AY158" s="323">
        <v>282</v>
      </c>
      <c r="AZ158" s="323">
        <v>30</v>
      </c>
      <c r="BA158" s="323">
        <v>9573</v>
      </c>
      <c r="BB158" s="331">
        <v>0</v>
      </c>
      <c r="BC158" s="330">
        <v>16</v>
      </c>
      <c r="BD158" s="330">
        <v>26</v>
      </c>
      <c r="BE158" s="330">
        <v>66</v>
      </c>
      <c r="BF158" s="330">
        <v>34</v>
      </c>
      <c r="BG158" s="330">
        <v>35</v>
      </c>
      <c r="BH158" s="330">
        <v>24</v>
      </c>
      <c r="BI158" s="330">
        <v>16</v>
      </c>
      <c r="BJ158" s="330">
        <v>1</v>
      </c>
      <c r="BK158" s="328">
        <v>218</v>
      </c>
      <c r="BL158" s="323">
        <v>0</v>
      </c>
      <c r="BM158" s="323">
        <v>2</v>
      </c>
      <c r="BN158" s="323">
        <v>1</v>
      </c>
      <c r="BO158" s="323">
        <v>3</v>
      </c>
      <c r="BP158" s="323">
        <v>1</v>
      </c>
      <c r="BQ158" s="323">
        <v>2</v>
      </c>
      <c r="BR158" s="323">
        <v>9</v>
      </c>
      <c r="BS158" s="323">
        <v>10</v>
      </c>
      <c r="BT158" s="323">
        <v>1</v>
      </c>
      <c r="BU158" s="323">
        <v>29</v>
      </c>
      <c r="BV158" s="329" t="s">
        <v>934</v>
      </c>
      <c r="BW158" s="330">
        <v>48</v>
      </c>
      <c r="BX158" s="330">
        <v>20</v>
      </c>
      <c r="BY158" s="330">
        <v>67</v>
      </c>
      <c r="BZ158" s="330">
        <v>58</v>
      </c>
      <c r="CA158" s="330">
        <v>79</v>
      </c>
      <c r="CB158" s="330">
        <v>53</v>
      </c>
      <c r="CC158" s="330">
        <v>104</v>
      </c>
      <c r="CD158" s="330">
        <v>37</v>
      </c>
      <c r="CE158" s="328">
        <v>466</v>
      </c>
      <c r="CF158" s="322" t="s">
        <v>934</v>
      </c>
      <c r="CG158" s="323">
        <v>0</v>
      </c>
      <c r="CH158" s="323">
        <v>0</v>
      </c>
      <c r="CI158" s="323">
        <v>0</v>
      </c>
      <c r="CJ158" s="323">
        <v>0</v>
      </c>
      <c r="CK158" s="323">
        <v>0</v>
      </c>
      <c r="CL158" s="323">
        <v>0</v>
      </c>
      <c r="CM158" s="323">
        <v>0</v>
      </c>
      <c r="CN158" s="323">
        <v>0</v>
      </c>
      <c r="CO158" s="323">
        <v>0</v>
      </c>
      <c r="CP158" s="329" t="s">
        <v>934</v>
      </c>
      <c r="CQ158" s="330">
        <v>0</v>
      </c>
      <c r="CR158" s="330">
        <v>0</v>
      </c>
      <c r="CS158" s="330">
        <v>0</v>
      </c>
      <c r="CT158" s="330">
        <v>0</v>
      </c>
      <c r="CU158" s="330">
        <v>0</v>
      </c>
      <c r="CV158" s="330">
        <v>0</v>
      </c>
      <c r="CW158" s="330">
        <v>0</v>
      </c>
      <c r="CX158" s="330">
        <v>0</v>
      </c>
      <c r="CY158" s="328">
        <v>0</v>
      </c>
      <c r="CZ158" s="322" t="s">
        <v>934</v>
      </c>
      <c r="DA158" s="323">
        <v>100</v>
      </c>
      <c r="DB158" s="323">
        <v>49</v>
      </c>
      <c r="DC158" s="323">
        <v>59</v>
      </c>
      <c r="DD158" s="323">
        <v>54</v>
      </c>
      <c r="DE158" s="323">
        <v>50</v>
      </c>
      <c r="DF158" s="323">
        <v>21</v>
      </c>
      <c r="DG158" s="323">
        <v>19</v>
      </c>
      <c r="DH158" s="323">
        <v>3</v>
      </c>
      <c r="DI158" s="323">
        <v>355</v>
      </c>
      <c r="DJ158" s="337">
        <v>1313.3</v>
      </c>
      <c r="DK158" s="644">
        <v>30902.2</v>
      </c>
      <c r="DL158" s="614">
        <v>4004</v>
      </c>
      <c r="DM158" s="614">
        <v>5346</v>
      </c>
      <c r="DN158" s="614">
        <v>8846</v>
      </c>
      <c r="DO158" s="614">
        <v>5111</v>
      </c>
      <c r="DP158" s="614">
        <v>4550</v>
      </c>
      <c r="DQ158" s="614">
        <v>3170</v>
      </c>
      <c r="DR158" s="614">
        <v>2507</v>
      </c>
      <c r="DS158" s="615">
        <v>352</v>
      </c>
      <c r="DT158" s="607">
        <f t="shared" si="2"/>
        <v>33886</v>
      </c>
      <c r="DU158" s="342"/>
      <c r="EC158" s="646"/>
      <c r="EF158" s="126"/>
      <c r="EG158" s="124"/>
    </row>
    <row r="159" spans="1:137" ht="15">
      <c r="A159" s="22">
        <v>151</v>
      </c>
      <c r="B159" s="23" t="s">
        <v>436</v>
      </c>
      <c r="C159" s="24" t="s">
        <v>437</v>
      </c>
      <c r="D159" s="613"/>
      <c r="E159" s="632">
        <v>805</v>
      </c>
      <c r="F159" s="632">
        <v>3319</v>
      </c>
      <c r="G159" s="632">
        <v>8940</v>
      </c>
      <c r="H159" s="632">
        <v>13369</v>
      </c>
      <c r="I159" s="632">
        <v>13205</v>
      </c>
      <c r="J159" s="632">
        <v>11877</v>
      </c>
      <c r="K159" s="632">
        <v>19888</v>
      </c>
      <c r="L159" s="632">
        <v>14220</v>
      </c>
      <c r="M159" s="627">
        <v>85623</v>
      </c>
      <c r="N159" s="322"/>
      <c r="O159" s="323">
        <v>95</v>
      </c>
      <c r="P159" s="323">
        <v>153</v>
      </c>
      <c r="Q159" s="323">
        <v>369</v>
      </c>
      <c r="R159" s="323">
        <v>662</v>
      </c>
      <c r="S159" s="323">
        <v>598</v>
      </c>
      <c r="T159" s="323">
        <v>607</v>
      </c>
      <c r="U159" s="323">
        <v>1060</v>
      </c>
      <c r="V159" s="323">
        <v>722</v>
      </c>
      <c r="W159" s="323">
        <v>4266</v>
      </c>
      <c r="X159" s="329" t="s">
        <v>934</v>
      </c>
      <c r="Y159" s="330">
        <v>0</v>
      </c>
      <c r="Z159" s="330">
        <v>0</v>
      </c>
      <c r="AA159" s="330">
        <v>0</v>
      </c>
      <c r="AB159" s="330">
        <v>0</v>
      </c>
      <c r="AC159" s="330">
        <v>0</v>
      </c>
      <c r="AD159" s="330">
        <v>0</v>
      </c>
      <c r="AE159" s="330">
        <v>0</v>
      </c>
      <c r="AF159" s="330">
        <v>0</v>
      </c>
      <c r="AG159" s="328">
        <v>0</v>
      </c>
      <c r="AH159" s="329" t="s">
        <v>934</v>
      </c>
      <c r="AI159" s="184">
        <v>0</v>
      </c>
      <c r="AJ159" s="184">
        <v>12</v>
      </c>
      <c r="AK159" s="184">
        <v>23</v>
      </c>
      <c r="AL159" s="184">
        <v>39</v>
      </c>
      <c r="AM159" s="184">
        <v>32</v>
      </c>
      <c r="AN159" s="184">
        <v>20</v>
      </c>
      <c r="AO159" s="184">
        <v>47</v>
      </c>
      <c r="AP159" s="184">
        <v>22</v>
      </c>
      <c r="AQ159" s="336">
        <v>195</v>
      </c>
      <c r="AR159" s="323">
        <v>0</v>
      </c>
      <c r="AS159" s="323">
        <v>506</v>
      </c>
      <c r="AT159" s="323">
        <v>2366</v>
      </c>
      <c r="AU159" s="323">
        <v>5269</v>
      </c>
      <c r="AV159" s="323">
        <v>7286</v>
      </c>
      <c r="AW159" s="323">
        <v>6018</v>
      </c>
      <c r="AX159" s="323">
        <v>4646</v>
      </c>
      <c r="AY159" s="323">
        <v>6070</v>
      </c>
      <c r="AZ159" s="323">
        <v>2256</v>
      </c>
      <c r="BA159" s="323">
        <v>34417</v>
      </c>
      <c r="BB159" s="331">
        <v>0</v>
      </c>
      <c r="BC159" s="330">
        <v>4</v>
      </c>
      <c r="BD159" s="330">
        <v>12</v>
      </c>
      <c r="BE159" s="330">
        <v>60</v>
      </c>
      <c r="BF159" s="330">
        <v>104</v>
      </c>
      <c r="BG159" s="330">
        <v>124</v>
      </c>
      <c r="BH159" s="330">
        <v>117</v>
      </c>
      <c r="BI159" s="330">
        <v>133</v>
      </c>
      <c r="BJ159" s="330">
        <v>45</v>
      </c>
      <c r="BK159" s="328">
        <v>599</v>
      </c>
      <c r="BL159" s="323">
        <v>0</v>
      </c>
      <c r="BM159" s="323">
        <v>0</v>
      </c>
      <c r="BN159" s="323">
        <v>37</v>
      </c>
      <c r="BO159" s="323">
        <v>2</v>
      </c>
      <c r="BP159" s="323">
        <v>15</v>
      </c>
      <c r="BQ159" s="323">
        <v>10</v>
      </c>
      <c r="BR159" s="323">
        <v>5</v>
      </c>
      <c r="BS159" s="323">
        <v>16</v>
      </c>
      <c r="BT159" s="323">
        <v>26</v>
      </c>
      <c r="BU159" s="323">
        <v>111</v>
      </c>
      <c r="BV159" s="329" t="s">
        <v>934</v>
      </c>
      <c r="BW159" s="330">
        <v>26</v>
      </c>
      <c r="BX159" s="330">
        <v>70</v>
      </c>
      <c r="BY159" s="330">
        <v>392</v>
      </c>
      <c r="BZ159" s="330">
        <v>729</v>
      </c>
      <c r="CA159" s="330">
        <v>957</v>
      </c>
      <c r="CB159" s="330">
        <v>1005</v>
      </c>
      <c r="CC159" s="330">
        <v>2207</v>
      </c>
      <c r="CD159" s="330">
        <v>1333</v>
      </c>
      <c r="CE159" s="328">
        <v>6719</v>
      </c>
      <c r="CF159" s="322" t="s">
        <v>934</v>
      </c>
      <c r="CG159" s="323">
        <v>0</v>
      </c>
      <c r="CH159" s="323">
        <v>0</v>
      </c>
      <c r="CI159" s="323">
        <v>0</v>
      </c>
      <c r="CJ159" s="323">
        <v>0</v>
      </c>
      <c r="CK159" s="323">
        <v>0</v>
      </c>
      <c r="CL159" s="323">
        <v>0</v>
      </c>
      <c r="CM159" s="323">
        <v>0</v>
      </c>
      <c r="CN159" s="323">
        <v>0</v>
      </c>
      <c r="CO159" s="323">
        <v>0</v>
      </c>
      <c r="CP159" s="329" t="s">
        <v>934</v>
      </c>
      <c r="CQ159" s="330">
        <v>0</v>
      </c>
      <c r="CR159" s="330">
        <v>0</v>
      </c>
      <c r="CS159" s="330">
        <v>0</v>
      </c>
      <c r="CT159" s="330">
        <v>0</v>
      </c>
      <c r="CU159" s="330">
        <v>0</v>
      </c>
      <c r="CV159" s="330">
        <v>0</v>
      </c>
      <c r="CW159" s="330">
        <v>0</v>
      </c>
      <c r="CX159" s="330">
        <v>0</v>
      </c>
      <c r="CY159" s="328">
        <v>0</v>
      </c>
      <c r="CZ159" s="322" t="s">
        <v>934</v>
      </c>
      <c r="DA159" s="323">
        <v>10</v>
      </c>
      <c r="DB159" s="323">
        <v>12</v>
      </c>
      <c r="DC159" s="323">
        <v>64</v>
      </c>
      <c r="DD159" s="323">
        <v>147</v>
      </c>
      <c r="DE159" s="323">
        <v>165</v>
      </c>
      <c r="DF159" s="323">
        <v>168</v>
      </c>
      <c r="DG159" s="323">
        <v>320</v>
      </c>
      <c r="DH159" s="323">
        <v>254</v>
      </c>
      <c r="DI159" s="323">
        <v>1140</v>
      </c>
      <c r="DJ159" s="337">
        <v>50.1</v>
      </c>
      <c r="DK159" s="644">
        <v>97126.8</v>
      </c>
      <c r="DL159" s="616">
        <v>1003</v>
      </c>
      <c r="DM159" s="616">
        <v>3400</v>
      </c>
      <c r="DN159" s="616">
        <v>9045</v>
      </c>
      <c r="DO159" s="616">
        <v>13389</v>
      </c>
      <c r="DP159" s="616">
        <v>13242</v>
      </c>
      <c r="DQ159" s="616">
        <v>11894</v>
      </c>
      <c r="DR159" s="616">
        <v>19883</v>
      </c>
      <c r="DS159" s="617">
        <v>14267</v>
      </c>
      <c r="DT159" s="607">
        <f t="shared" si="2"/>
        <v>86123</v>
      </c>
      <c r="DU159" s="342"/>
      <c r="EC159" s="646"/>
      <c r="EF159" s="125"/>
      <c r="EG159" s="124"/>
    </row>
    <row r="160" spans="1:137" ht="15">
      <c r="A160" s="22">
        <v>152</v>
      </c>
      <c r="B160" s="23" t="s">
        <v>438</v>
      </c>
      <c r="C160" s="24" t="s">
        <v>439</v>
      </c>
      <c r="D160" s="613"/>
      <c r="E160" s="629">
        <v>12268</v>
      </c>
      <c r="F160" s="629">
        <v>10907</v>
      </c>
      <c r="G160" s="629">
        <v>9445</v>
      </c>
      <c r="H160" s="629">
        <v>5909</v>
      </c>
      <c r="I160" s="629">
        <v>2831</v>
      </c>
      <c r="J160" s="629">
        <v>980</v>
      </c>
      <c r="K160" s="629">
        <v>437</v>
      </c>
      <c r="L160" s="629">
        <v>36</v>
      </c>
      <c r="M160" s="627">
        <v>42813</v>
      </c>
      <c r="N160" s="322"/>
      <c r="O160" s="323">
        <v>704</v>
      </c>
      <c r="P160" s="323">
        <v>340</v>
      </c>
      <c r="Q160" s="323">
        <v>229</v>
      </c>
      <c r="R160" s="323">
        <v>151</v>
      </c>
      <c r="S160" s="323">
        <v>49</v>
      </c>
      <c r="T160" s="323">
        <v>17</v>
      </c>
      <c r="U160" s="323">
        <v>10</v>
      </c>
      <c r="V160" s="323">
        <v>3</v>
      </c>
      <c r="W160" s="323">
        <v>1503</v>
      </c>
      <c r="X160" s="329" t="s">
        <v>934</v>
      </c>
      <c r="Y160" s="330">
        <v>1</v>
      </c>
      <c r="Z160" s="330">
        <v>3</v>
      </c>
      <c r="AA160" s="330">
        <v>0</v>
      </c>
      <c r="AB160" s="330">
        <v>2</v>
      </c>
      <c r="AC160" s="330">
        <v>0</v>
      </c>
      <c r="AD160" s="330">
        <v>0</v>
      </c>
      <c r="AE160" s="330">
        <v>0</v>
      </c>
      <c r="AF160" s="330">
        <v>0</v>
      </c>
      <c r="AG160" s="328">
        <v>6</v>
      </c>
      <c r="AH160" s="329" t="s">
        <v>934</v>
      </c>
      <c r="AI160" s="184">
        <v>12</v>
      </c>
      <c r="AJ160" s="184">
        <v>40</v>
      </c>
      <c r="AK160" s="184">
        <v>61</v>
      </c>
      <c r="AL160" s="184">
        <v>47</v>
      </c>
      <c r="AM160" s="184">
        <v>22</v>
      </c>
      <c r="AN160" s="184">
        <v>14</v>
      </c>
      <c r="AO160" s="184">
        <v>10</v>
      </c>
      <c r="AP160" s="184">
        <v>5</v>
      </c>
      <c r="AQ160" s="336">
        <v>211</v>
      </c>
      <c r="AR160" s="323">
        <v>8</v>
      </c>
      <c r="AS160" s="323">
        <v>5492</v>
      </c>
      <c r="AT160" s="323">
        <v>3494</v>
      </c>
      <c r="AU160" s="323">
        <v>2468</v>
      </c>
      <c r="AV160" s="323">
        <v>1165</v>
      </c>
      <c r="AW160" s="323">
        <v>491</v>
      </c>
      <c r="AX160" s="323">
        <v>161</v>
      </c>
      <c r="AY160" s="323">
        <v>58</v>
      </c>
      <c r="AZ160" s="323">
        <v>2</v>
      </c>
      <c r="BA160" s="323">
        <v>13339</v>
      </c>
      <c r="BB160" s="331">
        <v>0</v>
      </c>
      <c r="BC160" s="330">
        <v>75</v>
      </c>
      <c r="BD160" s="330">
        <v>68</v>
      </c>
      <c r="BE160" s="330">
        <v>57</v>
      </c>
      <c r="BF160" s="330">
        <v>44</v>
      </c>
      <c r="BG160" s="330">
        <v>11</v>
      </c>
      <c r="BH160" s="330">
        <v>3</v>
      </c>
      <c r="BI160" s="330">
        <v>3</v>
      </c>
      <c r="BJ160" s="330">
        <v>0</v>
      </c>
      <c r="BK160" s="328">
        <v>261</v>
      </c>
      <c r="BL160" s="323">
        <v>0</v>
      </c>
      <c r="BM160" s="323">
        <v>3</v>
      </c>
      <c r="BN160" s="323">
        <v>8</v>
      </c>
      <c r="BO160" s="323">
        <v>10</v>
      </c>
      <c r="BP160" s="323">
        <v>6</v>
      </c>
      <c r="BQ160" s="323">
        <v>7</v>
      </c>
      <c r="BR160" s="323">
        <v>13</v>
      </c>
      <c r="BS160" s="323">
        <v>12</v>
      </c>
      <c r="BT160" s="323">
        <v>2</v>
      </c>
      <c r="BU160" s="323">
        <v>61</v>
      </c>
      <c r="BV160" s="329" t="s">
        <v>934</v>
      </c>
      <c r="BW160" s="330">
        <v>220</v>
      </c>
      <c r="BX160" s="330">
        <v>273</v>
      </c>
      <c r="BY160" s="330">
        <v>250</v>
      </c>
      <c r="BZ160" s="330">
        <v>230</v>
      </c>
      <c r="CA160" s="330">
        <v>185</v>
      </c>
      <c r="CB160" s="330">
        <v>75</v>
      </c>
      <c r="CC160" s="330">
        <v>60</v>
      </c>
      <c r="CD160" s="330">
        <v>5</v>
      </c>
      <c r="CE160" s="328">
        <v>1298</v>
      </c>
      <c r="CF160" s="322" t="s">
        <v>934</v>
      </c>
      <c r="CG160" s="323">
        <v>43</v>
      </c>
      <c r="CH160" s="323">
        <v>7</v>
      </c>
      <c r="CI160" s="323">
        <v>7</v>
      </c>
      <c r="CJ160" s="323">
        <v>3</v>
      </c>
      <c r="CK160" s="323">
        <v>2</v>
      </c>
      <c r="CL160" s="323">
        <v>2</v>
      </c>
      <c r="CM160" s="323">
        <v>3</v>
      </c>
      <c r="CN160" s="323">
        <v>0</v>
      </c>
      <c r="CO160" s="323">
        <v>67</v>
      </c>
      <c r="CP160" s="329" t="s">
        <v>934</v>
      </c>
      <c r="CQ160" s="330">
        <v>130</v>
      </c>
      <c r="CR160" s="330">
        <v>96</v>
      </c>
      <c r="CS160" s="330">
        <v>81</v>
      </c>
      <c r="CT160" s="330">
        <v>52</v>
      </c>
      <c r="CU160" s="330">
        <v>18</v>
      </c>
      <c r="CV160" s="330">
        <v>15</v>
      </c>
      <c r="CW160" s="330">
        <v>7</v>
      </c>
      <c r="CX160" s="330">
        <v>1</v>
      </c>
      <c r="CY160" s="328">
        <v>400</v>
      </c>
      <c r="CZ160" s="322" t="s">
        <v>934</v>
      </c>
      <c r="DA160" s="323">
        <v>0</v>
      </c>
      <c r="DB160" s="323">
        <v>0</v>
      </c>
      <c r="DC160" s="323">
        <v>0</v>
      </c>
      <c r="DD160" s="323">
        <v>0</v>
      </c>
      <c r="DE160" s="323">
        <v>0</v>
      </c>
      <c r="DF160" s="323">
        <v>0</v>
      </c>
      <c r="DG160" s="323">
        <v>0</v>
      </c>
      <c r="DH160" s="323">
        <v>0</v>
      </c>
      <c r="DI160" s="323">
        <v>0</v>
      </c>
      <c r="DJ160" s="337">
        <v>254.4</v>
      </c>
      <c r="DK160" s="644">
        <v>32251</v>
      </c>
      <c r="DL160" s="616">
        <v>12443</v>
      </c>
      <c r="DM160" s="616">
        <v>11114</v>
      </c>
      <c r="DN160" s="616">
        <v>9505</v>
      </c>
      <c r="DO160" s="616">
        <v>5979</v>
      </c>
      <c r="DP160" s="616">
        <v>2849</v>
      </c>
      <c r="DQ160" s="616">
        <v>980</v>
      </c>
      <c r="DR160" s="616">
        <v>440</v>
      </c>
      <c r="DS160" s="617">
        <v>36</v>
      </c>
      <c r="DT160" s="607">
        <f t="shared" si="2"/>
        <v>43346</v>
      </c>
      <c r="DU160" s="342"/>
      <c r="EC160" s="646"/>
      <c r="EF160" s="125"/>
      <c r="EG160" s="124"/>
    </row>
    <row r="161" spans="1:137" ht="15">
      <c r="A161" s="22">
        <v>153</v>
      </c>
      <c r="B161" s="23" t="s">
        <v>440</v>
      </c>
      <c r="C161" s="24" t="s">
        <v>441</v>
      </c>
      <c r="D161" s="613"/>
      <c r="E161" s="630">
        <v>12251</v>
      </c>
      <c r="F161" s="630">
        <v>10865</v>
      </c>
      <c r="G161" s="630">
        <v>7250</v>
      </c>
      <c r="H161" s="630">
        <v>4368</v>
      </c>
      <c r="I161" s="630">
        <v>2607</v>
      </c>
      <c r="J161" s="630">
        <v>1155</v>
      </c>
      <c r="K161" s="630">
        <v>598</v>
      </c>
      <c r="L161" s="630">
        <v>51</v>
      </c>
      <c r="M161" s="627">
        <v>39145</v>
      </c>
      <c r="N161" s="322"/>
      <c r="O161" s="323">
        <v>506</v>
      </c>
      <c r="P161" s="323">
        <v>323</v>
      </c>
      <c r="Q161" s="323">
        <v>183</v>
      </c>
      <c r="R161" s="323">
        <v>90</v>
      </c>
      <c r="S161" s="323">
        <v>48</v>
      </c>
      <c r="T161" s="323">
        <v>21</v>
      </c>
      <c r="U161" s="323">
        <v>10</v>
      </c>
      <c r="V161" s="323">
        <v>2</v>
      </c>
      <c r="W161" s="323">
        <v>1183</v>
      </c>
      <c r="X161" s="329" t="s">
        <v>934</v>
      </c>
      <c r="Y161" s="330">
        <v>2</v>
      </c>
      <c r="Z161" s="330">
        <v>1</v>
      </c>
      <c r="AA161" s="330">
        <v>0</v>
      </c>
      <c r="AB161" s="330">
        <v>0</v>
      </c>
      <c r="AC161" s="330">
        <v>0</v>
      </c>
      <c r="AD161" s="330">
        <v>0</v>
      </c>
      <c r="AE161" s="330">
        <v>1</v>
      </c>
      <c r="AF161" s="330">
        <v>0</v>
      </c>
      <c r="AG161" s="328">
        <v>4</v>
      </c>
      <c r="AH161" s="329" t="s">
        <v>934</v>
      </c>
      <c r="AI161" s="184">
        <v>14</v>
      </c>
      <c r="AJ161" s="184">
        <v>44</v>
      </c>
      <c r="AK161" s="184">
        <v>53</v>
      </c>
      <c r="AL161" s="184">
        <v>27</v>
      </c>
      <c r="AM161" s="184">
        <v>20</v>
      </c>
      <c r="AN161" s="184">
        <v>13</v>
      </c>
      <c r="AO161" s="184">
        <v>14</v>
      </c>
      <c r="AP161" s="184">
        <v>8</v>
      </c>
      <c r="AQ161" s="336">
        <v>193</v>
      </c>
      <c r="AR161" s="323">
        <v>0</v>
      </c>
      <c r="AS161" s="323">
        <v>5555</v>
      </c>
      <c r="AT161" s="323">
        <v>3503</v>
      </c>
      <c r="AU161" s="323">
        <v>1844</v>
      </c>
      <c r="AV161" s="323">
        <v>735</v>
      </c>
      <c r="AW161" s="323">
        <v>346</v>
      </c>
      <c r="AX161" s="323">
        <v>109</v>
      </c>
      <c r="AY161" s="323">
        <v>52</v>
      </c>
      <c r="AZ161" s="323">
        <v>2</v>
      </c>
      <c r="BA161" s="323">
        <v>12146</v>
      </c>
      <c r="BB161" s="331">
        <v>0</v>
      </c>
      <c r="BC161" s="330">
        <v>57</v>
      </c>
      <c r="BD161" s="330">
        <v>56</v>
      </c>
      <c r="BE161" s="330">
        <v>51</v>
      </c>
      <c r="BF161" s="330">
        <v>24</v>
      </c>
      <c r="BG161" s="330">
        <v>12</v>
      </c>
      <c r="BH161" s="330">
        <v>2</v>
      </c>
      <c r="BI161" s="330">
        <v>5</v>
      </c>
      <c r="BJ161" s="330">
        <v>1</v>
      </c>
      <c r="BK161" s="328">
        <v>208</v>
      </c>
      <c r="BL161" s="323">
        <v>0</v>
      </c>
      <c r="BM161" s="323">
        <v>1</v>
      </c>
      <c r="BN161" s="323">
        <v>2</v>
      </c>
      <c r="BO161" s="323">
        <v>1</v>
      </c>
      <c r="BP161" s="323">
        <v>8</v>
      </c>
      <c r="BQ161" s="323">
        <v>4</v>
      </c>
      <c r="BR161" s="323">
        <v>13</v>
      </c>
      <c r="BS161" s="323">
        <v>14</v>
      </c>
      <c r="BT161" s="323">
        <v>3</v>
      </c>
      <c r="BU161" s="323">
        <v>46</v>
      </c>
      <c r="BV161" s="329" t="s">
        <v>934</v>
      </c>
      <c r="BW161" s="330">
        <v>68</v>
      </c>
      <c r="BX161" s="330">
        <v>39</v>
      </c>
      <c r="BY161" s="330">
        <v>23</v>
      </c>
      <c r="BZ161" s="330">
        <v>9</v>
      </c>
      <c r="CA161" s="330">
        <v>8</v>
      </c>
      <c r="CB161" s="330">
        <v>6</v>
      </c>
      <c r="CC161" s="330">
        <v>6</v>
      </c>
      <c r="CD161" s="330">
        <v>2</v>
      </c>
      <c r="CE161" s="328">
        <v>161</v>
      </c>
      <c r="CF161" s="322" t="s">
        <v>934</v>
      </c>
      <c r="CG161" s="323">
        <v>0</v>
      </c>
      <c r="CH161" s="323">
        <v>0</v>
      </c>
      <c r="CI161" s="323">
        <v>0</v>
      </c>
      <c r="CJ161" s="323">
        <v>0</v>
      </c>
      <c r="CK161" s="323">
        <v>0</v>
      </c>
      <c r="CL161" s="323">
        <v>0</v>
      </c>
      <c r="CM161" s="323">
        <v>0</v>
      </c>
      <c r="CN161" s="323">
        <v>0</v>
      </c>
      <c r="CO161" s="323">
        <v>0</v>
      </c>
      <c r="CP161" s="329" t="s">
        <v>934</v>
      </c>
      <c r="CQ161" s="330">
        <v>205</v>
      </c>
      <c r="CR161" s="330">
        <v>112</v>
      </c>
      <c r="CS161" s="330">
        <v>46</v>
      </c>
      <c r="CT161" s="330">
        <v>50</v>
      </c>
      <c r="CU161" s="330">
        <v>25</v>
      </c>
      <c r="CV161" s="330">
        <v>9</v>
      </c>
      <c r="CW161" s="330">
        <v>7</v>
      </c>
      <c r="CX161" s="330">
        <v>1</v>
      </c>
      <c r="CY161" s="328">
        <v>455</v>
      </c>
      <c r="CZ161" s="322" t="s">
        <v>934</v>
      </c>
      <c r="DA161" s="323">
        <v>0</v>
      </c>
      <c r="DB161" s="323">
        <v>0</v>
      </c>
      <c r="DC161" s="323">
        <v>0</v>
      </c>
      <c r="DD161" s="323">
        <v>0</v>
      </c>
      <c r="DE161" s="323">
        <v>0</v>
      </c>
      <c r="DF161" s="323">
        <v>0</v>
      </c>
      <c r="DG161" s="323">
        <v>0</v>
      </c>
      <c r="DH161" s="323">
        <v>0</v>
      </c>
      <c r="DI161" s="323">
        <v>0</v>
      </c>
      <c r="DJ161" s="337">
        <v>0</v>
      </c>
      <c r="DK161" s="644">
        <v>29886.8</v>
      </c>
      <c r="DL161" s="614">
        <v>12502</v>
      </c>
      <c r="DM161" s="614">
        <v>11093</v>
      </c>
      <c r="DN161" s="614">
        <v>7475</v>
      </c>
      <c r="DO161" s="614">
        <v>4445</v>
      </c>
      <c r="DP161" s="614">
        <v>2649</v>
      </c>
      <c r="DQ161" s="614">
        <v>1187</v>
      </c>
      <c r="DR161" s="614">
        <v>604</v>
      </c>
      <c r="DS161" s="615">
        <v>50</v>
      </c>
      <c r="DT161" s="607">
        <f t="shared" si="2"/>
        <v>40005</v>
      </c>
      <c r="DU161" s="342"/>
      <c r="EC161" s="646"/>
      <c r="EF161" s="127"/>
      <c r="EG161" s="124"/>
    </row>
    <row r="162" spans="1:137" ht="15">
      <c r="A162" s="22">
        <v>154</v>
      </c>
      <c r="B162" s="23" t="s">
        <v>860</v>
      </c>
      <c r="C162" s="24" t="s">
        <v>442</v>
      </c>
      <c r="D162" s="613"/>
      <c r="E162" s="628">
        <v>22276</v>
      </c>
      <c r="F162" s="628">
        <v>16008</v>
      </c>
      <c r="G162" s="628">
        <v>12676</v>
      </c>
      <c r="H162" s="628">
        <v>8295</v>
      </c>
      <c r="I162" s="628">
        <v>4256</v>
      </c>
      <c r="J162" s="628">
        <v>2150</v>
      </c>
      <c r="K162" s="628">
        <v>922</v>
      </c>
      <c r="L162" s="628">
        <v>96</v>
      </c>
      <c r="M162" s="627">
        <v>66679</v>
      </c>
      <c r="N162" s="322"/>
      <c r="O162" s="323">
        <v>1452</v>
      </c>
      <c r="P162" s="323">
        <v>617</v>
      </c>
      <c r="Q162" s="323">
        <v>404</v>
      </c>
      <c r="R162" s="323">
        <v>275</v>
      </c>
      <c r="S162" s="323">
        <v>154</v>
      </c>
      <c r="T162" s="323">
        <v>60</v>
      </c>
      <c r="U162" s="323">
        <v>27</v>
      </c>
      <c r="V162" s="323">
        <v>4</v>
      </c>
      <c r="W162" s="323">
        <v>2993</v>
      </c>
      <c r="X162" s="329" t="s">
        <v>934</v>
      </c>
      <c r="Y162" s="330">
        <v>5</v>
      </c>
      <c r="Z162" s="330">
        <v>2</v>
      </c>
      <c r="AA162" s="330">
        <v>1</v>
      </c>
      <c r="AB162" s="330">
        <v>0</v>
      </c>
      <c r="AC162" s="330">
        <v>0</v>
      </c>
      <c r="AD162" s="330">
        <v>0</v>
      </c>
      <c r="AE162" s="330">
        <v>0</v>
      </c>
      <c r="AF162" s="330">
        <v>0</v>
      </c>
      <c r="AG162" s="328">
        <v>8</v>
      </c>
      <c r="AH162" s="329" t="s">
        <v>934</v>
      </c>
      <c r="AI162" s="184">
        <v>89</v>
      </c>
      <c r="AJ162" s="184">
        <v>137</v>
      </c>
      <c r="AK162" s="184">
        <v>125</v>
      </c>
      <c r="AL162" s="184">
        <v>81</v>
      </c>
      <c r="AM162" s="184">
        <v>48</v>
      </c>
      <c r="AN162" s="184">
        <v>21</v>
      </c>
      <c r="AO162" s="184">
        <v>27</v>
      </c>
      <c r="AP162" s="184">
        <v>9</v>
      </c>
      <c r="AQ162" s="336">
        <v>537</v>
      </c>
      <c r="AR162" s="323">
        <v>19</v>
      </c>
      <c r="AS162" s="323">
        <v>9306</v>
      </c>
      <c r="AT162" s="323">
        <v>4794</v>
      </c>
      <c r="AU162" s="323">
        <v>3030</v>
      </c>
      <c r="AV162" s="323">
        <v>1593</v>
      </c>
      <c r="AW162" s="323">
        <v>637</v>
      </c>
      <c r="AX162" s="323">
        <v>269</v>
      </c>
      <c r="AY162" s="323">
        <v>103</v>
      </c>
      <c r="AZ162" s="323">
        <v>2</v>
      </c>
      <c r="BA162" s="323">
        <v>19753</v>
      </c>
      <c r="BB162" s="331">
        <v>0</v>
      </c>
      <c r="BC162" s="330">
        <v>103</v>
      </c>
      <c r="BD162" s="330">
        <v>105</v>
      </c>
      <c r="BE162" s="330">
        <v>96</v>
      </c>
      <c r="BF162" s="330">
        <v>62</v>
      </c>
      <c r="BG162" s="330">
        <v>22</v>
      </c>
      <c r="BH162" s="330">
        <v>18</v>
      </c>
      <c r="BI162" s="330">
        <v>6</v>
      </c>
      <c r="BJ162" s="330">
        <v>1</v>
      </c>
      <c r="BK162" s="328">
        <v>413</v>
      </c>
      <c r="BL162" s="323">
        <v>0</v>
      </c>
      <c r="BM162" s="323">
        <v>8</v>
      </c>
      <c r="BN162" s="323">
        <v>14</v>
      </c>
      <c r="BO162" s="323">
        <v>8</v>
      </c>
      <c r="BP162" s="323">
        <v>2</v>
      </c>
      <c r="BQ162" s="323">
        <v>5</v>
      </c>
      <c r="BR162" s="323">
        <v>19</v>
      </c>
      <c r="BS162" s="323">
        <v>7</v>
      </c>
      <c r="BT162" s="323">
        <v>2</v>
      </c>
      <c r="BU162" s="323">
        <v>65</v>
      </c>
      <c r="BV162" s="329" t="s">
        <v>934</v>
      </c>
      <c r="BW162" s="330">
        <v>593</v>
      </c>
      <c r="BX162" s="330">
        <v>632</v>
      </c>
      <c r="BY162" s="330">
        <v>621</v>
      </c>
      <c r="BZ162" s="330">
        <v>329</v>
      </c>
      <c r="CA162" s="330">
        <v>234</v>
      </c>
      <c r="CB162" s="330">
        <v>200</v>
      </c>
      <c r="CC162" s="330">
        <v>123</v>
      </c>
      <c r="CD162" s="330">
        <v>16</v>
      </c>
      <c r="CE162" s="328">
        <v>2748</v>
      </c>
      <c r="CF162" s="322" t="s">
        <v>934</v>
      </c>
      <c r="CG162" s="323">
        <v>385</v>
      </c>
      <c r="CH162" s="323">
        <v>288</v>
      </c>
      <c r="CI162" s="323">
        <v>183</v>
      </c>
      <c r="CJ162" s="323">
        <v>91</v>
      </c>
      <c r="CK162" s="323">
        <v>47</v>
      </c>
      <c r="CL162" s="323">
        <v>41</v>
      </c>
      <c r="CM162" s="323">
        <v>18</v>
      </c>
      <c r="CN162" s="323">
        <v>2</v>
      </c>
      <c r="CO162" s="323">
        <v>1055</v>
      </c>
      <c r="CP162" s="329" t="s">
        <v>934</v>
      </c>
      <c r="CQ162" s="330">
        <v>0</v>
      </c>
      <c r="CR162" s="330">
        <v>0</v>
      </c>
      <c r="CS162" s="330">
        <v>0</v>
      </c>
      <c r="CT162" s="330">
        <v>0</v>
      </c>
      <c r="CU162" s="330">
        <v>0</v>
      </c>
      <c r="CV162" s="330">
        <v>0</v>
      </c>
      <c r="CW162" s="330">
        <v>0</v>
      </c>
      <c r="CX162" s="330">
        <v>0</v>
      </c>
      <c r="CY162" s="328">
        <v>0</v>
      </c>
      <c r="CZ162" s="322" t="s">
        <v>934</v>
      </c>
      <c r="DA162" s="323">
        <v>0</v>
      </c>
      <c r="DB162" s="323">
        <v>0</v>
      </c>
      <c r="DC162" s="323">
        <v>0</v>
      </c>
      <c r="DD162" s="323">
        <v>0</v>
      </c>
      <c r="DE162" s="323">
        <v>0</v>
      </c>
      <c r="DF162" s="323">
        <v>0</v>
      </c>
      <c r="DG162" s="323">
        <v>0</v>
      </c>
      <c r="DH162" s="323">
        <v>0</v>
      </c>
      <c r="DI162" s="323">
        <v>0</v>
      </c>
      <c r="DJ162" s="337">
        <v>447</v>
      </c>
      <c r="DK162" s="644">
        <v>49105</v>
      </c>
      <c r="DL162" s="614">
        <v>22602</v>
      </c>
      <c r="DM162" s="614">
        <v>16174</v>
      </c>
      <c r="DN162" s="614">
        <v>12752</v>
      </c>
      <c r="DO162" s="614">
        <v>8493</v>
      </c>
      <c r="DP162" s="614">
        <v>4326</v>
      </c>
      <c r="DQ162" s="614">
        <v>2188</v>
      </c>
      <c r="DR162" s="614">
        <v>951</v>
      </c>
      <c r="DS162" s="615">
        <v>96</v>
      </c>
      <c r="DT162" s="607">
        <f t="shared" si="2"/>
        <v>67582</v>
      </c>
      <c r="DU162" s="342"/>
      <c r="EC162" s="646"/>
      <c r="EF162" s="126"/>
      <c r="EG162" s="124"/>
    </row>
    <row r="163" spans="1:137" ht="15">
      <c r="A163" s="22">
        <v>155</v>
      </c>
      <c r="B163" s="23" t="s">
        <v>443</v>
      </c>
      <c r="C163" s="24" t="s">
        <v>444</v>
      </c>
      <c r="D163" s="613"/>
      <c r="E163" s="626">
        <v>81629</v>
      </c>
      <c r="F163" s="626">
        <v>20586</v>
      </c>
      <c r="G163" s="626">
        <v>8704</v>
      </c>
      <c r="H163" s="626">
        <v>3204</v>
      </c>
      <c r="I163" s="626">
        <v>890</v>
      </c>
      <c r="J163" s="626">
        <v>220</v>
      </c>
      <c r="K163" s="626">
        <v>59</v>
      </c>
      <c r="L163" s="626">
        <v>40</v>
      </c>
      <c r="M163" s="627">
        <v>115332</v>
      </c>
      <c r="N163" s="322"/>
      <c r="O163" s="323">
        <v>4484</v>
      </c>
      <c r="P163" s="323">
        <v>770</v>
      </c>
      <c r="Q163" s="323">
        <v>360</v>
      </c>
      <c r="R163" s="323">
        <v>69</v>
      </c>
      <c r="S163" s="323">
        <v>28</v>
      </c>
      <c r="T163" s="323">
        <v>28</v>
      </c>
      <c r="U163" s="323">
        <v>8</v>
      </c>
      <c r="V163" s="323">
        <v>5</v>
      </c>
      <c r="W163" s="323">
        <v>5752</v>
      </c>
      <c r="X163" s="329" t="s">
        <v>934</v>
      </c>
      <c r="Y163" s="330">
        <v>0</v>
      </c>
      <c r="Z163" s="330">
        <v>0</v>
      </c>
      <c r="AA163" s="330">
        <v>0</v>
      </c>
      <c r="AB163" s="330">
        <v>0</v>
      </c>
      <c r="AC163" s="330">
        <v>0</v>
      </c>
      <c r="AD163" s="330">
        <v>0</v>
      </c>
      <c r="AE163" s="330">
        <v>0</v>
      </c>
      <c r="AF163" s="330">
        <v>0</v>
      </c>
      <c r="AG163" s="328">
        <v>0</v>
      </c>
      <c r="AH163" s="329" t="s">
        <v>934</v>
      </c>
      <c r="AI163" s="184">
        <v>87</v>
      </c>
      <c r="AJ163" s="184">
        <v>86</v>
      </c>
      <c r="AK163" s="184">
        <v>52</v>
      </c>
      <c r="AL163" s="184">
        <v>26</v>
      </c>
      <c r="AM163" s="184">
        <v>16</v>
      </c>
      <c r="AN163" s="184">
        <v>10</v>
      </c>
      <c r="AO163" s="184">
        <v>24</v>
      </c>
      <c r="AP163" s="184">
        <v>22</v>
      </c>
      <c r="AQ163" s="336">
        <v>323</v>
      </c>
      <c r="AR163" s="323">
        <v>16</v>
      </c>
      <c r="AS163" s="323">
        <v>39520</v>
      </c>
      <c r="AT163" s="323">
        <v>6251</v>
      </c>
      <c r="AU163" s="323">
        <v>1927</v>
      </c>
      <c r="AV163" s="323">
        <v>502</v>
      </c>
      <c r="AW163" s="323">
        <v>132</v>
      </c>
      <c r="AX163" s="323">
        <v>28</v>
      </c>
      <c r="AY163" s="323">
        <v>1</v>
      </c>
      <c r="AZ163" s="323">
        <v>0</v>
      </c>
      <c r="BA163" s="323">
        <v>48377</v>
      </c>
      <c r="BB163" s="331">
        <v>7</v>
      </c>
      <c r="BC163" s="330">
        <v>384</v>
      </c>
      <c r="BD163" s="330">
        <v>113</v>
      </c>
      <c r="BE163" s="330">
        <v>43</v>
      </c>
      <c r="BF163" s="330">
        <v>15</v>
      </c>
      <c r="BG163" s="330">
        <v>5</v>
      </c>
      <c r="BH163" s="330">
        <v>0</v>
      </c>
      <c r="BI163" s="330">
        <v>0</v>
      </c>
      <c r="BJ163" s="330">
        <v>0</v>
      </c>
      <c r="BK163" s="328">
        <v>567</v>
      </c>
      <c r="BL163" s="323">
        <v>2</v>
      </c>
      <c r="BM163" s="323">
        <v>67</v>
      </c>
      <c r="BN163" s="323">
        <v>27</v>
      </c>
      <c r="BO163" s="323">
        <v>14</v>
      </c>
      <c r="BP163" s="323">
        <v>12</v>
      </c>
      <c r="BQ163" s="323">
        <v>12</v>
      </c>
      <c r="BR163" s="323">
        <v>26</v>
      </c>
      <c r="BS163" s="323">
        <v>30</v>
      </c>
      <c r="BT163" s="323">
        <v>9</v>
      </c>
      <c r="BU163" s="323">
        <v>199</v>
      </c>
      <c r="BV163" s="329" t="s">
        <v>934</v>
      </c>
      <c r="BW163" s="330">
        <v>120</v>
      </c>
      <c r="BX163" s="330">
        <v>42</v>
      </c>
      <c r="BY163" s="330">
        <v>15</v>
      </c>
      <c r="BZ163" s="330">
        <v>8</v>
      </c>
      <c r="CA163" s="330">
        <v>4</v>
      </c>
      <c r="CB163" s="330">
        <v>2</v>
      </c>
      <c r="CC163" s="330">
        <v>0</v>
      </c>
      <c r="CD163" s="330">
        <v>0</v>
      </c>
      <c r="CE163" s="328">
        <v>191</v>
      </c>
      <c r="CF163" s="322" t="s">
        <v>934</v>
      </c>
      <c r="CG163" s="323">
        <v>0</v>
      </c>
      <c r="CH163" s="323">
        <v>0</v>
      </c>
      <c r="CI163" s="323">
        <v>0</v>
      </c>
      <c r="CJ163" s="323">
        <v>0</v>
      </c>
      <c r="CK163" s="323">
        <v>0</v>
      </c>
      <c r="CL163" s="323">
        <v>0</v>
      </c>
      <c r="CM163" s="323">
        <v>0</v>
      </c>
      <c r="CN163" s="323">
        <v>0</v>
      </c>
      <c r="CO163" s="323">
        <v>0</v>
      </c>
      <c r="CP163" s="329" t="s">
        <v>934</v>
      </c>
      <c r="CQ163" s="330">
        <v>2153</v>
      </c>
      <c r="CR163" s="330">
        <v>237</v>
      </c>
      <c r="CS163" s="330">
        <v>74</v>
      </c>
      <c r="CT163" s="330">
        <v>48</v>
      </c>
      <c r="CU163" s="330">
        <v>12</v>
      </c>
      <c r="CV163" s="330">
        <v>2</v>
      </c>
      <c r="CW163" s="330">
        <v>1</v>
      </c>
      <c r="CX163" s="330">
        <v>0</v>
      </c>
      <c r="CY163" s="328">
        <v>2527</v>
      </c>
      <c r="CZ163" s="322" t="s">
        <v>934</v>
      </c>
      <c r="DA163" s="323">
        <v>0</v>
      </c>
      <c r="DB163" s="323">
        <v>0</v>
      </c>
      <c r="DC163" s="323">
        <v>0</v>
      </c>
      <c r="DD163" s="323">
        <v>0</v>
      </c>
      <c r="DE163" s="323">
        <v>0</v>
      </c>
      <c r="DF163" s="323">
        <v>0</v>
      </c>
      <c r="DG163" s="323">
        <v>0</v>
      </c>
      <c r="DH163" s="323">
        <v>0</v>
      </c>
      <c r="DI163" s="323">
        <v>0</v>
      </c>
      <c r="DJ163" s="337">
        <v>0</v>
      </c>
      <c r="DK163" s="644">
        <v>70146.5</v>
      </c>
      <c r="DL163" s="614">
        <v>81641</v>
      </c>
      <c r="DM163" s="614">
        <v>20901</v>
      </c>
      <c r="DN163" s="614">
        <v>8936</v>
      </c>
      <c r="DO163" s="614">
        <v>3387</v>
      </c>
      <c r="DP163" s="614">
        <v>952</v>
      </c>
      <c r="DQ163" s="614">
        <v>232</v>
      </c>
      <c r="DR163" s="614">
        <v>61</v>
      </c>
      <c r="DS163" s="615">
        <v>40</v>
      </c>
      <c r="DT163" s="607">
        <f t="shared" si="2"/>
        <v>116150</v>
      </c>
      <c r="DU163" s="342"/>
      <c r="EC163" s="646"/>
      <c r="EF163" s="123"/>
      <c r="EG163" s="124"/>
    </row>
    <row r="164" spans="1:137" ht="15">
      <c r="A164" s="22">
        <v>156</v>
      </c>
      <c r="B164" s="23" t="s">
        <v>445</v>
      </c>
      <c r="C164" s="24" t="s">
        <v>446</v>
      </c>
      <c r="D164" s="613"/>
      <c r="E164" s="638">
        <v>204</v>
      </c>
      <c r="F164" s="638">
        <v>2668</v>
      </c>
      <c r="G164" s="638">
        <v>14026</v>
      </c>
      <c r="H164" s="639">
        <v>19515</v>
      </c>
      <c r="I164" s="629">
        <v>14238</v>
      </c>
      <c r="J164" s="629">
        <v>7688</v>
      </c>
      <c r="K164" s="629">
        <v>3916</v>
      </c>
      <c r="L164" s="629">
        <v>887</v>
      </c>
      <c r="M164" s="633">
        <v>63142</v>
      </c>
      <c r="N164" s="322"/>
      <c r="O164" s="323">
        <v>30</v>
      </c>
      <c r="P164" s="323">
        <v>197</v>
      </c>
      <c r="Q164" s="323">
        <v>881</v>
      </c>
      <c r="R164" s="323">
        <v>1182</v>
      </c>
      <c r="S164" s="323">
        <v>407</v>
      </c>
      <c r="T164" s="323">
        <v>232</v>
      </c>
      <c r="U164" s="323">
        <v>139</v>
      </c>
      <c r="V164" s="323">
        <v>47</v>
      </c>
      <c r="W164" s="323">
        <v>3115</v>
      </c>
      <c r="X164" s="329" t="s">
        <v>934</v>
      </c>
      <c r="Y164" s="330">
        <v>0</v>
      </c>
      <c r="Z164" s="330">
        <v>0</v>
      </c>
      <c r="AA164" s="330">
        <v>0</v>
      </c>
      <c r="AB164" s="330">
        <v>0</v>
      </c>
      <c r="AC164" s="330">
        <v>0</v>
      </c>
      <c r="AD164" s="330">
        <v>0</v>
      </c>
      <c r="AE164" s="330">
        <v>0</v>
      </c>
      <c r="AF164" s="330">
        <v>0</v>
      </c>
      <c r="AG164" s="328">
        <v>0</v>
      </c>
      <c r="AH164" s="329" t="s">
        <v>934</v>
      </c>
      <c r="AI164" s="184">
        <v>0</v>
      </c>
      <c r="AJ164" s="184">
        <v>1</v>
      </c>
      <c r="AK164" s="184">
        <v>19</v>
      </c>
      <c r="AL164" s="184">
        <v>69</v>
      </c>
      <c r="AM164" s="184">
        <v>76</v>
      </c>
      <c r="AN164" s="184">
        <v>55</v>
      </c>
      <c r="AO164" s="184">
        <v>31</v>
      </c>
      <c r="AP164" s="184">
        <v>10</v>
      </c>
      <c r="AQ164" s="336">
        <v>261</v>
      </c>
      <c r="AR164" s="323">
        <v>0</v>
      </c>
      <c r="AS164" s="323">
        <v>75</v>
      </c>
      <c r="AT164" s="323">
        <v>1690</v>
      </c>
      <c r="AU164" s="323">
        <v>6879</v>
      </c>
      <c r="AV164" s="323">
        <v>6258</v>
      </c>
      <c r="AW164" s="323">
        <v>3446</v>
      </c>
      <c r="AX164" s="323">
        <v>1410</v>
      </c>
      <c r="AY164" s="323">
        <v>504</v>
      </c>
      <c r="AZ164" s="323">
        <v>74</v>
      </c>
      <c r="BA164" s="323">
        <v>20336</v>
      </c>
      <c r="BB164" s="331">
        <v>0</v>
      </c>
      <c r="BC164" s="330">
        <v>2</v>
      </c>
      <c r="BD164" s="330">
        <v>24</v>
      </c>
      <c r="BE164" s="330">
        <v>149</v>
      </c>
      <c r="BF164" s="330">
        <v>167</v>
      </c>
      <c r="BG164" s="330">
        <v>102</v>
      </c>
      <c r="BH164" s="330">
        <v>50</v>
      </c>
      <c r="BI164" s="330">
        <v>20</v>
      </c>
      <c r="BJ164" s="330">
        <v>7</v>
      </c>
      <c r="BK164" s="328">
        <v>521</v>
      </c>
      <c r="BL164" s="323">
        <v>0</v>
      </c>
      <c r="BM164" s="323">
        <v>0</v>
      </c>
      <c r="BN164" s="323">
        <v>1</v>
      </c>
      <c r="BO164" s="323">
        <v>4</v>
      </c>
      <c r="BP164" s="323">
        <v>8</v>
      </c>
      <c r="BQ164" s="323">
        <v>13</v>
      </c>
      <c r="BR164" s="323">
        <v>3</v>
      </c>
      <c r="BS164" s="323">
        <v>16</v>
      </c>
      <c r="BT164" s="323">
        <v>16</v>
      </c>
      <c r="BU164" s="323">
        <v>61</v>
      </c>
      <c r="BV164" s="329" t="s">
        <v>934</v>
      </c>
      <c r="BW164" s="330">
        <v>6</v>
      </c>
      <c r="BX164" s="330">
        <v>21</v>
      </c>
      <c r="BY164" s="330">
        <v>90</v>
      </c>
      <c r="BZ164" s="330">
        <v>100</v>
      </c>
      <c r="CA164" s="330">
        <v>63</v>
      </c>
      <c r="CB164" s="330">
        <v>42</v>
      </c>
      <c r="CC164" s="330">
        <v>18</v>
      </c>
      <c r="CD164" s="330">
        <v>15</v>
      </c>
      <c r="CE164" s="328">
        <v>355</v>
      </c>
      <c r="CF164" s="322" t="s">
        <v>934</v>
      </c>
      <c r="CG164" s="323">
        <v>0</v>
      </c>
      <c r="CH164" s="323">
        <v>0</v>
      </c>
      <c r="CI164" s="323">
        <v>0</v>
      </c>
      <c r="CJ164" s="323">
        <v>0</v>
      </c>
      <c r="CK164" s="323">
        <v>0</v>
      </c>
      <c r="CL164" s="323">
        <v>0</v>
      </c>
      <c r="CM164" s="323">
        <v>0</v>
      </c>
      <c r="CN164" s="323">
        <v>0</v>
      </c>
      <c r="CO164" s="323">
        <v>0</v>
      </c>
      <c r="CP164" s="329" t="s">
        <v>934</v>
      </c>
      <c r="CQ164" s="330">
        <v>0</v>
      </c>
      <c r="CR164" s="330">
        <v>0</v>
      </c>
      <c r="CS164" s="330">
        <v>0</v>
      </c>
      <c r="CT164" s="330">
        <v>0</v>
      </c>
      <c r="CU164" s="330">
        <v>0</v>
      </c>
      <c r="CV164" s="330">
        <v>0</v>
      </c>
      <c r="CW164" s="330">
        <v>0</v>
      </c>
      <c r="CX164" s="330">
        <v>0</v>
      </c>
      <c r="CY164" s="328">
        <v>0</v>
      </c>
      <c r="CZ164" s="322" t="s">
        <v>934</v>
      </c>
      <c r="DA164" s="323">
        <v>13</v>
      </c>
      <c r="DB164" s="323">
        <v>76</v>
      </c>
      <c r="DC164" s="323">
        <v>350</v>
      </c>
      <c r="DD164" s="323">
        <v>303</v>
      </c>
      <c r="DE164" s="323">
        <v>154</v>
      </c>
      <c r="DF164" s="323">
        <v>81</v>
      </c>
      <c r="DG164" s="323">
        <v>58</v>
      </c>
      <c r="DH164" s="323">
        <v>24</v>
      </c>
      <c r="DI164" s="323">
        <v>1059</v>
      </c>
      <c r="DJ164" s="337">
        <v>154</v>
      </c>
      <c r="DK164" s="644">
        <v>62067.4</v>
      </c>
      <c r="DL164" s="616">
        <v>209</v>
      </c>
      <c r="DM164" s="616">
        <v>2713</v>
      </c>
      <c r="DN164" s="616">
        <v>14180</v>
      </c>
      <c r="DO164" s="616">
        <v>19575</v>
      </c>
      <c r="DP164" s="616">
        <v>14292</v>
      </c>
      <c r="DQ164" s="616">
        <v>7720</v>
      </c>
      <c r="DR164" s="616">
        <v>3944</v>
      </c>
      <c r="DS164" s="617">
        <v>890</v>
      </c>
      <c r="DT164" s="608">
        <f t="shared" si="2"/>
        <v>63523</v>
      </c>
      <c r="DU164" s="342"/>
      <c r="EC164" s="646"/>
      <c r="EF164" s="125"/>
      <c r="EG164" s="128"/>
    </row>
    <row r="165" spans="1:137" ht="15">
      <c r="A165" s="22">
        <v>157</v>
      </c>
      <c r="B165" s="23" t="s">
        <v>447</v>
      </c>
      <c r="C165" s="24" t="s">
        <v>448</v>
      </c>
      <c r="D165" s="613"/>
      <c r="E165" s="626">
        <v>79427</v>
      </c>
      <c r="F165" s="626">
        <v>31332</v>
      </c>
      <c r="G165" s="626">
        <v>29462</v>
      </c>
      <c r="H165" s="626">
        <v>14754</v>
      </c>
      <c r="I165" s="626">
        <v>10564</v>
      </c>
      <c r="J165" s="626">
        <v>4583</v>
      </c>
      <c r="K165" s="626">
        <v>1929</v>
      </c>
      <c r="L165" s="626">
        <v>123</v>
      </c>
      <c r="M165" s="627">
        <v>172174</v>
      </c>
      <c r="N165" s="322"/>
      <c r="O165" s="323">
        <v>3262</v>
      </c>
      <c r="P165" s="323">
        <v>945</v>
      </c>
      <c r="Q165" s="323">
        <v>743</v>
      </c>
      <c r="R165" s="323">
        <v>435</v>
      </c>
      <c r="S165" s="323">
        <v>140</v>
      </c>
      <c r="T165" s="323">
        <v>75</v>
      </c>
      <c r="U165" s="323">
        <v>22</v>
      </c>
      <c r="V165" s="323">
        <v>1</v>
      </c>
      <c r="W165" s="323">
        <v>5623</v>
      </c>
      <c r="X165" s="329" t="s">
        <v>934</v>
      </c>
      <c r="Y165" s="330">
        <v>14</v>
      </c>
      <c r="Z165" s="330">
        <v>1</v>
      </c>
      <c r="AA165" s="330">
        <v>3</v>
      </c>
      <c r="AB165" s="330">
        <v>1</v>
      </c>
      <c r="AC165" s="330">
        <v>0</v>
      </c>
      <c r="AD165" s="330">
        <v>0</v>
      </c>
      <c r="AE165" s="330">
        <v>0</v>
      </c>
      <c r="AF165" s="330">
        <v>0</v>
      </c>
      <c r="AG165" s="328">
        <v>19</v>
      </c>
      <c r="AH165" s="329" t="s">
        <v>934</v>
      </c>
      <c r="AI165" s="184">
        <v>82</v>
      </c>
      <c r="AJ165" s="184">
        <v>140</v>
      </c>
      <c r="AK165" s="184">
        <v>194</v>
      </c>
      <c r="AL165" s="184">
        <v>108</v>
      </c>
      <c r="AM165" s="184">
        <v>91</v>
      </c>
      <c r="AN165" s="184">
        <v>45</v>
      </c>
      <c r="AO165" s="184">
        <v>52</v>
      </c>
      <c r="AP165" s="184">
        <v>38</v>
      </c>
      <c r="AQ165" s="336">
        <v>750</v>
      </c>
      <c r="AR165" s="323">
        <v>19</v>
      </c>
      <c r="AS165" s="323">
        <v>39249</v>
      </c>
      <c r="AT165" s="323">
        <v>10261</v>
      </c>
      <c r="AU165" s="323">
        <v>7256</v>
      </c>
      <c r="AV165" s="323">
        <v>2949</v>
      </c>
      <c r="AW165" s="323">
        <v>1565</v>
      </c>
      <c r="AX165" s="323">
        <v>582</v>
      </c>
      <c r="AY165" s="323">
        <v>186</v>
      </c>
      <c r="AZ165" s="323">
        <v>9</v>
      </c>
      <c r="BA165" s="323">
        <v>62076</v>
      </c>
      <c r="BB165" s="331">
        <v>5</v>
      </c>
      <c r="BC165" s="330">
        <v>508</v>
      </c>
      <c r="BD165" s="330">
        <v>234</v>
      </c>
      <c r="BE165" s="330">
        <v>205</v>
      </c>
      <c r="BF165" s="330">
        <v>79</v>
      </c>
      <c r="BG165" s="330">
        <v>56</v>
      </c>
      <c r="BH165" s="330">
        <v>17</v>
      </c>
      <c r="BI165" s="330">
        <v>4</v>
      </c>
      <c r="BJ165" s="330">
        <v>0</v>
      </c>
      <c r="BK165" s="328">
        <v>1108</v>
      </c>
      <c r="BL165" s="323">
        <v>1</v>
      </c>
      <c r="BM165" s="323">
        <v>40</v>
      </c>
      <c r="BN165" s="323">
        <v>21</v>
      </c>
      <c r="BO165" s="323">
        <v>18</v>
      </c>
      <c r="BP165" s="323">
        <v>20</v>
      </c>
      <c r="BQ165" s="323">
        <v>25</v>
      </c>
      <c r="BR165" s="323">
        <v>41</v>
      </c>
      <c r="BS165" s="323">
        <v>46</v>
      </c>
      <c r="BT165" s="323">
        <v>7</v>
      </c>
      <c r="BU165" s="323">
        <v>219</v>
      </c>
      <c r="BV165" s="329" t="s">
        <v>934</v>
      </c>
      <c r="BW165" s="330">
        <v>600</v>
      </c>
      <c r="BX165" s="330">
        <v>222</v>
      </c>
      <c r="BY165" s="330">
        <v>139</v>
      </c>
      <c r="BZ165" s="330">
        <v>74</v>
      </c>
      <c r="CA165" s="330">
        <v>41</v>
      </c>
      <c r="CB165" s="330">
        <v>22</v>
      </c>
      <c r="CC165" s="330">
        <v>5</v>
      </c>
      <c r="CD165" s="330">
        <v>0</v>
      </c>
      <c r="CE165" s="328">
        <v>1103</v>
      </c>
      <c r="CF165" s="322" t="s">
        <v>934</v>
      </c>
      <c r="CG165" s="323">
        <v>0</v>
      </c>
      <c r="CH165" s="323">
        <v>0</v>
      </c>
      <c r="CI165" s="323">
        <v>0</v>
      </c>
      <c r="CJ165" s="323">
        <v>0</v>
      </c>
      <c r="CK165" s="323">
        <v>0</v>
      </c>
      <c r="CL165" s="323">
        <v>0</v>
      </c>
      <c r="CM165" s="323">
        <v>0</v>
      </c>
      <c r="CN165" s="323">
        <v>0</v>
      </c>
      <c r="CO165" s="323">
        <v>0</v>
      </c>
      <c r="CP165" s="329" t="s">
        <v>934</v>
      </c>
      <c r="CQ165" s="330">
        <v>1836</v>
      </c>
      <c r="CR165" s="330">
        <v>607</v>
      </c>
      <c r="CS165" s="330">
        <v>372</v>
      </c>
      <c r="CT165" s="330">
        <v>150</v>
      </c>
      <c r="CU165" s="330">
        <v>128</v>
      </c>
      <c r="CV165" s="330">
        <v>55</v>
      </c>
      <c r="CW165" s="330">
        <v>32</v>
      </c>
      <c r="CX165" s="330">
        <v>0</v>
      </c>
      <c r="CY165" s="328">
        <v>3180</v>
      </c>
      <c r="CZ165" s="322" t="s">
        <v>934</v>
      </c>
      <c r="DA165" s="323">
        <v>0</v>
      </c>
      <c r="DB165" s="323">
        <v>0</v>
      </c>
      <c r="DC165" s="323">
        <v>0</v>
      </c>
      <c r="DD165" s="323">
        <v>0</v>
      </c>
      <c r="DE165" s="323">
        <v>0</v>
      </c>
      <c r="DF165" s="323">
        <v>0</v>
      </c>
      <c r="DG165" s="323">
        <v>0</v>
      </c>
      <c r="DH165" s="323">
        <v>0</v>
      </c>
      <c r="DI165" s="323">
        <v>0</v>
      </c>
      <c r="DJ165" s="337">
        <v>0</v>
      </c>
      <c r="DK165" s="644">
        <v>124365.2</v>
      </c>
      <c r="DL165" s="614">
        <v>80086</v>
      </c>
      <c r="DM165" s="614">
        <v>31894</v>
      </c>
      <c r="DN165" s="614">
        <v>29888</v>
      </c>
      <c r="DO165" s="614">
        <v>15168</v>
      </c>
      <c r="DP165" s="614">
        <v>10702</v>
      </c>
      <c r="DQ165" s="614">
        <v>4658</v>
      </c>
      <c r="DR165" s="614">
        <v>1934</v>
      </c>
      <c r="DS165" s="615">
        <v>127</v>
      </c>
      <c r="DT165" s="607">
        <f t="shared" si="2"/>
        <v>174457</v>
      </c>
      <c r="DU165" s="342"/>
      <c r="EC165" s="646"/>
      <c r="EF165" s="126"/>
      <c r="EG165" s="124"/>
    </row>
    <row r="166" spans="1:137" ht="15">
      <c r="A166" s="22">
        <v>158</v>
      </c>
      <c r="B166" s="23" t="s">
        <v>449</v>
      </c>
      <c r="C166" s="24" t="s">
        <v>450</v>
      </c>
      <c r="D166" s="613"/>
      <c r="E166" s="629">
        <v>36567</v>
      </c>
      <c r="F166" s="629">
        <v>12482</v>
      </c>
      <c r="G166" s="629">
        <v>8640</v>
      </c>
      <c r="H166" s="629">
        <v>3784</v>
      </c>
      <c r="I166" s="629">
        <v>1456</v>
      </c>
      <c r="J166" s="629">
        <v>261</v>
      </c>
      <c r="K166" s="629">
        <v>123</v>
      </c>
      <c r="L166" s="629">
        <v>17</v>
      </c>
      <c r="M166" s="627">
        <v>63330</v>
      </c>
      <c r="N166" s="322"/>
      <c r="O166" s="323">
        <v>870</v>
      </c>
      <c r="P166" s="323">
        <v>209</v>
      </c>
      <c r="Q166" s="323">
        <v>149</v>
      </c>
      <c r="R166" s="323">
        <v>49</v>
      </c>
      <c r="S166" s="323">
        <v>25</v>
      </c>
      <c r="T166" s="323">
        <v>6</v>
      </c>
      <c r="U166" s="323">
        <v>4</v>
      </c>
      <c r="V166" s="323">
        <v>0</v>
      </c>
      <c r="W166" s="323">
        <v>1312</v>
      </c>
      <c r="X166" s="329" t="s">
        <v>934</v>
      </c>
      <c r="Y166" s="330">
        <v>22</v>
      </c>
      <c r="Z166" s="330">
        <v>1</v>
      </c>
      <c r="AA166" s="330">
        <v>0</v>
      </c>
      <c r="AB166" s="330">
        <v>0</v>
      </c>
      <c r="AC166" s="330">
        <v>0</v>
      </c>
      <c r="AD166" s="330">
        <v>0</v>
      </c>
      <c r="AE166" s="330">
        <v>0</v>
      </c>
      <c r="AF166" s="330">
        <v>0</v>
      </c>
      <c r="AG166" s="328">
        <v>23</v>
      </c>
      <c r="AH166" s="329" t="s">
        <v>934</v>
      </c>
      <c r="AI166" s="184">
        <v>55</v>
      </c>
      <c r="AJ166" s="184">
        <v>53</v>
      </c>
      <c r="AK166" s="184">
        <v>84</v>
      </c>
      <c r="AL166" s="184">
        <v>35</v>
      </c>
      <c r="AM166" s="184">
        <v>18</v>
      </c>
      <c r="AN166" s="184">
        <v>5</v>
      </c>
      <c r="AO166" s="184">
        <v>7</v>
      </c>
      <c r="AP166" s="184">
        <v>9</v>
      </c>
      <c r="AQ166" s="336">
        <v>266</v>
      </c>
      <c r="AR166" s="323">
        <v>10</v>
      </c>
      <c r="AS166" s="323">
        <v>17322</v>
      </c>
      <c r="AT166" s="323">
        <v>4011</v>
      </c>
      <c r="AU166" s="323">
        <v>2127</v>
      </c>
      <c r="AV166" s="323">
        <v>673</v>
      </c>
      <c r="AW166" s="323">
        <v>201</v>
      </c>
      <c r="AX166" s="323">
        <v>42</v>
      </c>
      <c r="AY166" s="323">
        <v>19</v>
      </c>
      <c r="AZ166" s="323">
        <v>0</v>
      </c>
      <c r="BA166" s="323">
        <v>24405</v>
      </c>
      <c r="BB166" s="331">
        <v>3</v>
      </c>
      <c r="BC166" s="330">
        <v>358</v>
      </c>
      <c r="BD166" s="330">
        <v>145</v>
      </c>
      <c r="BE166" s="330">
        <v>110</v>
      </c>
      <c r="BF166" s="330">
        <v>55</v>
      </c>
      <c r="BG166" s="330">
        <v>17</v>
      </c>
      <c r="BH166" s="330">
        <v>3</v>
      </c>
      <c r="BI166" s="330">
        <v>3</v>
      </c>
      <c r="BJ166" s="330">
        <v>0</v>
      </c>
      <c r="BK166" s="328">
        <v>694</v>
      </c>
      <c r="BL166" s="323">
        <v>0</v>
      </c>
      <c r="BM166" s="323">
        <v>15</v>
      </c>
      <c r="BN166" s="323">
        <v>6</v>
      </c>
      <c r="BO166" s="323">
        <v>12</v>
      </c>
      <c r="BP166" s="323">
        <v>9</v>
      </c>
      <c r="BQ166" s="323">
        <v>5</v>
      </c>
      <c r="BR166" s="323">
        <v>6</v>
      </c>
      <c r="BS166" s="323">
        <v>7</v>
      </c>
      <c r="BT166" s="323">
        <v>3</v>
      </c>
      <c r="BU166" s="323">
        <v>63</v>
      </c>
      <c r="BV166" s="329" t="s">
        <v>934</v>
      </c>
      <c r="BW166" s="330">
        <v>31</v>
      </c>
      <c r="BX166" s="330">
        <v>5</v>
      </c>
      <c r="BY166" s="330">
        <v>5</v>
      </c>
      <c r="BZ166" s="330">
        <v>4</v>
      </c>
      <c r="CA166" s="330">
        <v>2</v>
      </c>
      <c r="CB166" s="330">
        <v>0</v>
      </c>
      <c r="CC166" s="330">
        <v>1</v>
      </c>
      <c r="CD166" s="330">
        <v>0</v>
      </c>
      <c r="CE166" s="328">
        <v>48</v>
      </c>
      <c r="CF166" s="322" t="s">
        <v>934</v>
      </c>
      <c r="CG166" s="323">
        <v>693</v>
      </c>
      <c r="CH166" s="323">
        <v>148</v>
      </c>
      <c r="CI166" s="323">
        <v>91</v>
      </c>
      <c r="CJ166" s="323">
        <v>40</v>
      </c>
      <c r="CK166" s="323">
        <v>18</v>
      </c>
      <c r="CL166" s="323">
        <v>4</v>
      </c>
      <c r="CM166" s="323">
        <v>4</v>
      </c>
      <c r="CN166" s="323">
        <v>1</v>
      </c>
      <c r="CO166" s="323">
        <v>999</v>
      </c>
      <c r="CP166" s="329" t="s">
        <v>934</v>
      </c>
      <c r="CQ166" s="330">
        <v>0</v>
      </c>
      <c r="CR166" s="330">
        <v>0</v>
      </c>
      <c r="CS166" s="330">
        <v>0</v>
      </c>
      <c r="CT166" s="330">
        <v>0</v>
      </c>
      <c r="CU166" s="330">
        <v>0</v>
      </c>
      <c r="CV166" s="330">
        <v>0</v>
      </c>
      <c r="CW166" s="330">
        <v>0</v>
      </c>
      <c r="CX166" s="330">
        <v>0</v>
      </c>
      <c r="CY166" s="328">
        <v>0</v>
      </c>
      <c r="CZ166" s="322" t="s">
        <v>934</v>
      </c>
      <c r="DA166" s="323">
        <v>0</v>
      </c>
      <c r="DB166" s="323">
        <v>0</v>
      </c>
      <c r="DC166" s="323">
        <v>0</v>
      </c>
      <c r="DD166" s="323">
        <v>0</v>
      </c>
      <c r="DE166" s="323">
        <v>0</v>
      </c>
      <c r="DF166" s="323">
        <v>0</v>
      </c>
      <c r="DG166" s="323">
        <v>0</v>
      </c>
      <c r="DH166" s="323">
        <v>0</v>
      </c>
      <c r="DI166" s="323">
        <v>0</v>
      </c>
      <c r="DJ166" s="337">
        <v>0</v>
      </c>
      <c r="DK166" s="644">
        <v>41978.8</v>
      </c>
      <c r="DL166" s="616">
        <v>36973</v>
      </c>
      <c r="DM166" s="616">
        <v>12935</v>
      </c>
      <c r="DN166" s="616">
        <v>8708</v>
      </c>
      <c r="DO166" s="616">
        <v>3828</v>
      </c>
      <c r="DP166" s="616">
        <v>1465</v>
      </c>
      <c r="DQ166" s="616">
        <v>264</v>
      </c>
      <c r="DR166" s="616">
        <v>126</v>
      </c>
      <c r="DS166" s="617">
        <v>17</v>
      </c>
      <c r="DT166" s="607">
        <f t="shared" si="2"/>
        <v>64316</v>
      </c>
      <c r="DU166" s="342"/>
      <c r="EC166" s="646"/>
      <c r="EF166" s="130"/>
      <c r="EG166" s="124"/>
    </row>
    <row r="167" spans="1:137" ht="15">
      <c r="A167" s="22">
        <v>159</v>
      </c>
      <c r="B167" s="23" t="s">
        <v>451</v>
      </c>
      <c r="C167" s="24" t="s">
        <v>452</v>
      </c>
      <c r="D167" s="613"/>
      <c r="E167" s="629">
        <v>4705</v>
      </c>
      <c r="F167" s="629">
        <v>31963</v>
      </c>
      <c r="G167" s="629">
        <v>36476</v>
      </c>
      <c r="H167" s="629">
        <v>26384</v>
      </c>
      <c r="I167" s="629">
        <v>12960</v>
      </c>
      <c r="J167" s="629">
        <v>8613</v>
      </c>
      <c r="K167" s="629">
        <v>5261</v>
      </c>
      <c r="L167" s="629">
        <v>606</v>
      </c>
      <c r="M167" s="633">
        <v>126968</v>
      </c>
      <c r="N167" s="322"/>
      <c r="O167" s="323">
        <v>169</v>
      </c>
      <c r="P167" s="323">
        <v>897</v>
      </c>
      <c r="Q167" s="323">
        <v>972</v>
      </c>
      <c r="R167" s="323">
        <v>496</v>
      </c>
      <c r="S167" s="323">
        <v>253</v>
      </c>
      <c r="T167" s="323">
        <v>214</v>
      </c>
      <c r="U167" s="323">
        <v>136</v>
      </c>
      <c r="V167" s="323">
        <v>22</v>
      </c>
      <c r="W167" s="323">
        <v>3159</v>
      </c>
      <c r="X167" s="329" t="s">
        <v>934</v>
      </c>
      <c r="Y167" s="330">
        <v>0</v>
      </c>
      <c r="Z167" s="330">
        <v>7</v>
      </c>
      <c r="AA167" s="330">
        <v>6</v>
      </c>
      <c r="AB167" s="330">
        <v>2</v>
      </c>
      <c r="AC167" s="330">
        <v>0</v>
      </c>
      <c r="AD167" s="330">
        <v>1</v>
      </c>
      <c r="AE167" s="330">
        <v>1</v>
      </c>
      <c r="AF167" s="330">
        <v>1</v>
      </c>
      <c r="AG167" s="328">
        <v>18</v>
      </c>
      <c r="AH167" s="329" t="s">
        <v>934</v>
      </c>
      <c r="AI167" s="184">
        <v>1</v>
      </c>
      <c r="AJ167" s="184">
        <v>61</v>
      </c>
      <c r="AK167" s="184">
        <v>97</v>
      </c>
      <c r="AL167" s="184">
        <v>105</v>
      </c>
      <c r="AM167" s="184">
        <v>71</v>
      </c>
      <c r="AN167" s="184">
        <v>69</v>
      </c>
      <c r="AO167" s="184">
        <v>35</v>
      </c>
      <c r="AP167" s="184">
        <v>9</v>
      </c>
      <c r="AQ167" s="336">
        <v>448</v>
      </c>
      <c r="AR167" s="323">
        <v>1</v>
      </c>
      <c r="AS167" s="323">
        <v>3190</v>
      </c>
      <c r="AT167" s="323">
        <v>20218</v>
      </c>
      <c r="AU167" s="323">
        <v>17879</v>
      </c>
      <c r="AV167" s="323">
        <v>10772</v>
      </c>
      <c r="AW167" s="323">
        <v>4242</v>
      </c>
      <c r="AX167" s="323">
        <v>2002</v>
      </c>
      <c r="AY167" s="323">
        <v>858</v>
      </c>
      <c r="AZ167" s="323">
        <v>78</v>
      </c>
      <c r="BA167" s="323">
        <v>59240</v>
      </c>
      <c r="BB167" s="331">
        <v>0</v>
      </c>
      <c r="BC167" s="330">
        <v>27</v>
      </c>
      <c r="BD167" s="330">
        <v>214</v>
      </c>
      <c r="BE167" s="330">
        <v>346</v>
      </c>
      <c r="BF167" s="330">
        <v>245</v>
      </c>
      <c r="BG167" s="330">
        <v>88</v>
      </c>
      <c r="BH167" s="330">
        <v>68</v>
      </c>
      <c r="BI167" s="330">
        <v>32</v>
      </c>
      <c r="BJ167" s="330">
        <v>4</v>
      </c>
      <c r="BK167" s="328">
        <v>1024</v>
      </c>
      <c r="BL167" s="323">
        <v>0</v>
      </c>
      <c r="BM167" s="323">
        <v>0</v>
      </c>
      <c r="BN167" s="323">
        <v>13</v>
      </c>
      <c r="BO167" s="323">
        <v>20</v>
      </c>
      <c r="BP167" s="323">
        <v>18</v>
      </c>
      <c r="BQ167" s="323">
        <v>28</v>
      </c>
      <c r="BR167" s="323">
        <v>62</v>
      </c>
      <c r="BS167" s="323">
        <v>67</v>
      </c>
      <c r="BT167" s="323">
        <v>29</v>
      </c>
      <c r="BU167" s="323">
        <v>237</v>
      </c>
      <c r="BV167" s="329" t="s">
        <v>934</v>
      </c>
      <c r="BW167" s="330">
        <v>18</v>
      </c>
      <c r="BX167" s="330">
        <v>128</v>
      </c>
      <c r="BY167" s="330">
        <v>224</v>
      </c>
      <c r="BZ167" s="330">
        <v>154</v>
      </c>
      <c r="CA167" s="330">
        <v>123</v>
      </c>
      <c r="CB167" s="330">
        <v>119</v>
      </c>
      <c r="CC167" s="330">
        <v>131</v>
      </c>
      <c r="CD167" s="330">
        <v>42</v>
      </c>
      <c r="CE167" s="328">
        <v>939</v>
      </c>
      <c r="CF167" s="322" t="s">
        <v>934</v>
      </c>
      <c r="CG167" s="323">
        <v>0</v>
      </c>
      <c r="CH167" s="323">
        <v>0</v>
      </c>
      <c r="CI167" s="323">
        <v>0</v>
      </c>
      <c r="CJ167" s="323">
        <v>0</v>
      </c>
      <c r="CK167" s="323">
        <v>0</v>
      </c>
      <c r="CL167" s="323">
        <v>0</v>
      </c>
      <c r="CM167" s="323">
        <v>0</v>
      </c>
      <c r="CN167" s="323">
        <v>0</v>
      </c>
      <c r="CO167" s="323">
        <v>0</v>
      </c>
      <c r="CP167" s="329" t="s">
        <v>934</v>
      </c>
      <c r="CQ167" s="330">
        <v>160</v>
      </c>
      <c r="CR167" s="330">
        <v>528</v>
      </c>
      <c r="CS167" s="330">
        <v>588</v>
      </c>
      <c r="CT167" s="330">
        <v>352</v>
      </c>
      <c r="CU167" s="330">
        <v>118</v>
      </c>
      <c r="CV167" s="330">
        <v>97</v>
      </c>
      <c r="CW167" s="330">
        <v>39</v>
      </c>
      <c r="CX167" s="330">
        <v>17</v>
      </c>
      <c r="CY167" s="328">
        <v>1899</v>
      </c>
      <c r="CZ167" s="322" t="s">
        <v>934</v>
      </c>
      <c r="DA167" s="323">
        <v>17</v>
      </c>
      <c r="DB167" s="323">
        <v>123</v>
      </c>
      <c r="DC167" s="323">
        <v>214</v>
      </c>
      <c r="DD167" s="323">
        <v>149</v>
      </c>
      <c r="DE167" s="323">
        <v>118</v>
      </c>
      <c r="DF167" s="323">
        <v>117</v>
      </c>
      <c r="DG167" s="323">
        <v>129</v>
      </c>
      <c r="DH167" s="323">
        <v>41</v>
      </c>
      <c r="DI167" s="323">
        <v>908</v>
      </c>
      <c r="DJ167" s="337">
        <v>0</v>
      </c>
      <c r="DK167" s="644">
        <v>107301</v>
      </c>
      <c r="DL167" s="616">
        <v>4717</v>
      </c>
      <c r="DM167" s="616">
        <v>32112</v>
      </c>
      <c r="DN167" s="616">
        <v>37101</v>
      </c>
      <c r="DO167" s="616">
        <v>26735</v>
      </c>
      <c r="DP167" s="616">
        <v>12959</v>
      </c>
      <c r="DQ167" s="616">
        <v>8568</v>
      </c>
      <c r="DR167" s="616">
        <v>5274</v>
      </c>
      <c r="DS167" s="617">
        <v>604</v>
      </c>
      <c r="DT167" s="608">
        <f t="shared" si="2"/>
        <v>128070</v>
      </c>
      <c r="DU167" s="342"/>
      <c r="EC167" s="646"/>
      <c r="EF167" s="125"/>
      <c r="EG167" s="128"/>
    </row>
    <row r="168" spans="1:137" ht="15">
      <c r="A168" s="22">
        <v>160</v>
      </c>
      <c r="B168" s="23" t="s">
        <v>453</v>
      </c>
      <c r="C168" s="24" t="s">
        <v>454</v>
      </c>
      <c r="D168" s="613"/>
      <c r="E168" s="628">
        <v>21264</v>
      </c>
      <c r="F168" s="628">
        <v>15288</v>
      </c>
      <c r="G168" s="628">
        <v>11437</v>
      </c>
      <c r="H168" s="628">
        <v>5947</v>
      </c>
      <c r="I168" s="628">
        <v>3680</v>
      </c>
      <c r="J168" s="628">
        <v>1821</v>
      </c>
      <c r="K168" s="628">
        <v>826</v>
      </c>
      <c r="L168" s="628">
        <v>69</v>
      </c>
      <c r="M168" s="627">
        <v>60332</v>
      </c>
      <c r="N168" s="322"/>
      <c r="O168" s="323">
        <v>1482</v>
      </c>
      <c r="P168" s="323">
        <v>817</v>
      </c>
      <c r="Q168" s="323">
        <v>580</v>
      </c>
      <c r="R168" s="323">
        <v>176</v>
      </c>
      <c r="S168" s="323">
        <v>77</v>
      </c>
      <c r="T168" s="323">
        <v>33</v>
      </c>
      <c r="U168" s="323">
        <v>14</v>
      </c>
      <c r="V168" s="323">
        <v>20</v>
      </c>
      <c r="W168" s="323">
        <v>3199</v>
      </c>
      <c r="X168" s="329" t="s">
        <v>934</v>
      </c>
      <c r="Y168" s="330">
        <v>3</v>
      </c>
      <c r="Z168" s="330">
        <v>1</v>
      </c>
      <c r="AA168" s="330">
        <v>0</v>
      </c>
      <c r="AB168" s="330">
        <v>2</v>
      </c>
      <c r="AC168" s="330">
        <v>1</v>
      </c>
      <c r="AD168" s="330">
        <v>0</v>
      </c>
      <c r="AE168" s="330">
        <v>0</v>
      </c>
      <c r="AF168" s="330">
        <v>0</v>
      </c>
      <c r="AG168" s="328">
        <v>7</v>
      </c>
      <c r="AH168" s="329" t="s">
        <v>934</v>
      </c>
      <c r="AI168" s="184">
        <v>28</v>
      </c>
      <c r="AJ168" s="184">
        <v>54</v>
      </c>
      <c r="AK168" s="184">
        <v>62</v>
      </c>
      <c r="AL168" s="184">
        <v>43</v>
      </c>
      <c r="AM168" s="184">
        <v>28</v>
      </c>
      <c r="AN168" s="184">
        <v>26</v>
      </c>
      <c r="AO168" s="184">
        <v>26</v>
      </c>
      <c r="AP168" s="184">
        <v>9</v>
      </c>
      <c r="AQ168" s="336">
        <v>276</v>
      </c>
      <c r="AR168" s="323">
        <v>6</v>
      </c>
      <c r="AS168" s="323">
        <v>10162</v>
      </c>
      <c r="AT168" s="323">
        <v>4866</v>
      </c>
      <c r="AU168" s="323">
        <v>3298</v>
      </c>
      <c r="AV168" s="323">
        <v>1328</v>
      </c>
      <c r="AW168" s="323">
        <v>642</v>
      </c>
      <c r="AX168" s="323">
        <v>240</v>
      </c>
      <c r="AY168" s="323">
        <v>89</v>
      </c>
      <c r="AZ168" s="323">
        <v>1</v>
      </c>
      <c r="BA168" s="323">
        <v>20632</v>
      </c>
      <c r="BB168" s="331">
        <v>1</v>
      </c>
      <c r="BC168" s="330">
        <v>213</v>
      </c>
      <c r="BD168" s="330">
        <v>164</v>
      </c>
      <c r="BE168" s="330">
        <v>89</v>
      </c>
      <c r="BF168" s="330">
        <v>44</v>
      </c>
      <c r="BG168" s="330">
        <v>19</v>
      </c>
      <c r="BH168" s="330">
        <v>8</v>
      </c>
      <c r="BI168" s="330">
        <v>4</v>
      </c>
      <c r="BJ168" s="330">
        <v>0</v>
      </c>
      <c r="BK168" s="328">
        <v>542</v>
      </c>
      <c r="BL168" s="323">
        <v>0</v>
      </c>
      <c r="BM168" s="323">
        <v>9</v>
      </c>
      <c r="BN168" s="323">
        <v>23</v>
      </c>
      <c r="BO168" s="323">
        <v>15</v>
      </c>
      <c r="BP168" s="323">
        <v>12</v>
      </c>
      <c r="BQ168" s="323">
        <v>12</v>
      </c>
      <c r="BR168" s="323">
        <v>19</v>
      </c>
      <c r="BS168" s="323">
        <v>20</v>
      </c>
      <c r="BT168" s="323">
        <v>3</v>
      </c>
      <c r="BU168" s="323">
        <v>113</v>
      </c>
      <c r="BV168" s="329" t="s">
        <v>934</v>
      </c>
      <c r="BW168" s="330">
        <v>270</v>
      </c>
      <c r="BX168" s="330">
        <v>182</v>
      </c>
      <c r="BY168" s="330">
        <v>166</v>
      </c>
      <c r="BZ168" s="330">
        <v>83</v>
      </c>
      <c r="CA168" s="330">
        <v>47</v>
      </c>
      <c r="CB168" s="330">
        <v>22</v>
      </c>
      <c r="CC168" s="330">
        <v>13</v>
      </c>
      <c r="CD168" s="330">
        <v>3</v>
      </c>
      <c r="CE168" s="328">
        <v>786</v>
      </c>
      <c r="CF168" s="322" t="s">
        <v>934</v>
      </c>
      <c r="CG168" s="323">
        <v>474</v>
      </c>
      <c r="CH168" s="323">
        <v>200</v>
      </c>
      <c r="CI168" s="323">
        <v>115</v>
      </c>
      <c r="CJ168" s="323">
        <v>69</v>
      </c>
      <c r="CK168" s="323">
        <v>46</v>
      </c>
      <c r="CL168" s="323">
        <v>13</v>
      </c>
      <c r="CM168" s="323">
        <v>9</v>
      </c>
      <c r="CN168" s="323">
        <v>2</v>
      </c>
      <c r="CO168" s="323">
        <v>928</v>
      </c>
      <c r="CP168" s="329" t="s">
        <v>934</v>
      </c>
      <c r="CQ168" s="330">
        <v>0</v>
      </c>
      <c r="CR168" s="330">
        <v>0</v>
      </c>
      <c r="CS168" s="330">
        <v>0</v>
      </c>
      <c r="CT168" s="330">
        <v>0</v>
      </c>
      <c r="CU168" s="330">
        <v>0</v>
      </c>
      <c r="CV168" s="330">
        <v>0</v>
      </c>
      <c r="CW168" s="330">
        <v>0</v>
      </c>
      <c r="CX168" s="330">
        <v>0</v>
      </c>
      <c r="CY168" s="328">
        <v>0</v>
      </c>
      <c r="CZ168" s="322" t="s">
        <v>934</v>
      </c>
      <c r="DA168" s="323">
        <v>0</v>
      </c>
      <c r="DB168" s="323">
        <v>0</v>
      </c>
      <c r="DC168" s="323">
        <v>0</v>
      </c>
      <c r="DD168" s="323">
        <v>0</v>
      </c>
      <c r="DE168" s="323">
        <v>0</v>
      </c>
      <c r="DF168" s="323">
        <v>0</v>
      </c>
      <c r="DG168" s="323">
        <v>0</v>
      </c>
      <c r="DH168" s="323">
        <v>0</v>
      </c>
      <c r="DI168" s="323">
        <v>0</v>
      </c>
      <c r="DJ168" s="337">
        <v>0</v>
      </c>
      <c r="DK168" s="644">
        <v>43360.4</v>
      </c>
      <c r="DL168" s="614">
        <v>21286</v>
      </c>
      <c r="DM168" s="614">
        <v>15339</v>
      </c>
      <c r="DN168" s="614">
        <v>11491</v>
      </c>
      <c r="DO168" s="614">
        <v>5969</v>
      </c>
      <c r="DP168" s="614">
        <v>3693</v>
      </c>
      <c r="DQ168" s="614">
        <v>1824</v>
      </c>
      <c r="DR168" s="614">
        <v>826</v>
      </c>
      <c r="DS168" s="615">
        <v>69</v>
      </c>
      <c r="DT168" s="607">
        <f t="shared" si="2"/>
        <v>60497</v>
      </c>
      <c r="DU168" s="342"/>
      <c r="EC168" s="646"/>
      <c r="EF168" s="126"/>
      <c r="EG168" s="124"/>
    </row>
    <row r="169" spans="1:137" ht="15">
      <c r="A169" s="22">
        <v>161</v>
      </c>
      <c r="B169" s="23" t="s">
        <v>455</v>
      </c>
      <c r="C169" s="24" t="s">
        <v>456</v>
      </c>
      <c r="D169" s="613"/>
      <c r="E169" s="626">
        <v>130642</v>
      </c>
      <c r="F169" s="626">
        <v>66268</v>
      </c>
      <c r="G169" s="626">
        <v>61622</v>
      </c>
      <c r="H169" s="626">
        <v>29703</v>
      </c>
      <c r="I169" s="626">
        <v>18849</v>
      </c>
      <c r="J169" s="626">
        <v>9109</v>
      </c>
      <c r="K169" s="626">
        <v>6409</v>
      </c>
      <c r="L169" s="626">
        <v>646</v>
      </c>
      <c r="M169" s="627">
        <v>323248</v>
      </c>
      <c r="N169" s="322"/>
      <c r="O169" s="323">
        <v>9970</v>
      </c>
      <c r="P169" s="323">
        <v>5273</v>
      </c>
      <c r="Q169" s="323">
        <v>3097</v>
      </c>
      <c r="R169" s="323">
        <v>1664</v>
      </c>
      <c r="S169" s="323">
        <v>588</v>
      </c>
      <c r="T169" s="323">
        <v>212</v>
      </c>
      <c r="U169" s="323">
        <v>109</v>
      </c>
      <c r="V169" s="323">
        <v>19</v>
      </c>
      <c r="W169" s="323">
        <v>20932</v>
      </c>
      <c r="X169" s="329" t="s">
        <v>934</v>
      </c>
      <c r="Y169" s="330">
        <v>91</v>
      </c>
      <c r="Z169" s="330">
        <v>0</v>
      </c>
      <c r="AA169" s="330">
        <v>1</v>
      </c>
      <c r="AB169" s="330">
        <v>0</v>
      </c>
      <c r="AC169" s="330">
        <v>1</v>
      </c>
      <c r="AD169" s="330">
        <v>0</v>
      </c>
      <c r="AE169" s="330">
        <v>1</v>
      </c>
      <c r="AF169" s="330">
        <v>0</v>
      </c>
      <c r="AG169" s="328">
        <v>94</v>
      </c>
      <c r="AH169" s="329" t="s">
        <v>934</v>
      </c>
      <c r="AI169" s="184">
        <v>334</v>
      </c>
      <c r="AJ169" s="184">
        <v>326</v>
      </c>
      <c r="AK169" s="184">
        <v>398</v>
      </c>
      <c r="AL169" s="184">
        <v>251</v>
      </c>
      <c r="AM169" s="184">
        <v>176</v>
      </c>
      <c r="AN169" s="184">
        <v>105</v>
      </c>
      <c r="AO169" s="184">
        <v>98</v>
      </c>
      <c r="AP169" s="184">
        <v>43</v>
      </c>
      <c r="AQ169" s="336">
        <v>1731</v>
      </c>
      <c r="AR169" s="323">
        <v>101</v>
      </c>
      <c r="AS169" s="323">
        <v>66520</v>
      </c>
      <c r="AT169" s="323">
        <v>23707</v>
      </c>
      <c r="AU169" s="323">
        <v>17978</v>
      </c>
      <c r="AV169" s="323">
        <v>7063</v>
      </c>
      <c r="AW169" s="323">
        <v>3346</v>
      </c>
      <c r="AX169" s="323">
        <v>1419</v>
      </c>
      <c r="AY169" s="323">
        <v>791</v>
      </c>
      <c r="AZ169" s="323">
        <v>48</v>
      </c>
      <c r="BA169" s="323">
        <v>120973</v>
      </c>
      <c r="BB169" s="331">
        <v>5</v>
      </c>
      <c r="BC169" s="330">
        <v>1016</v>
      </c>
      <c r="BD169" s="330">
        <v>642</v>
      </c>
      <c r="BE169" s="330">
        <v>474</v>
      </c>
      <c r="BF169" s="330">
        <v>201</v>
      </c>
      <c r="BG169" s="330">
        <v>101</v>
      </c>
      <c r="BH169" s="330">
        <v>42</v>
      </c>
      <c r="BI169" s="330">
        <v>26</v>
      </c>
      <c r="BJ169" s="330">
        <v>3</v>
      </c>
      <c r="BK169" s="328">
        <v>2510</v>
      </c>
      <c r="BL169" s="323">
        <v>2</v>
      </c>
      <c r="BM169" s="323">
        <v>96</v>
      </c>
      <c r="BN169" s="323">
        <v>61</v>
      </c>
      <c r="BO169" s="323">
        <v>45</v>
      </c>
      <c r="BP169" s="323">
        <v>64</v>
      </c>
      <c r="BQ169" s="323">
        <v>51</v>
      </c>
      <c r="BR169" s="323">
        <v>64</v>
      </c>
      <c r="BS169" s="323">
        <v>90</v>
      </c>
      <c r="BT169" s="323">
        <v>61</v>
      </c>
      <c r="BU169" s="323">
        <v>534</v>
      </c>
      <c r="BV169" s="329" t="s">
        <v>934</v>
      </c>
      <c r="BW169" s="330">
        <v>718</v>
      </c>
      <c r="BX169" s="330">
        <v>408</v>
      </c>
      <c r="BY169" s="330">
        <v>456</v>
      </c>
      <c r="BZ169" s="330">
        <v>422</v>
      </c>
      <c r="CA169" s="330">
        <v>205</v>
      </c>
      <c r="CB169" s="330">
        <v>68</v>
      </c>
      <c r="CC169" s="330">
        <v>40</v>
      </c>
      <c r="CD169" s="330">
        <v>11</v>
      </c>
      <c r="CE169" s="328">
        <v>2328</v>
      </c>
      <c r="CF169" s="322" t="s">
        <v>934</v>
      </c>
      <c r="CG169" s="323">
        <v>0</v>
      </c>
      <c r="CH169" s="323">
        <v>0</v>
      </c>
      <c r="CI169" s="323">
        <v>0</v>
      </c>
      <c r="CJ169" s="323">
        <v>0</v>
      </c>
      <c r="CK169" s="323">
        <v>0</v>
      </c>
      <c r="CL169" s="323">
        <v>0</v>
      </c>
      <c r="CM169" s="323">
        <v>0</v>
      </c>
      <c r="CN169" s="323">
        <v>0</v>
      </c>
      <c r="CO169" s="323">
        <v>0</v>
      </c>
      <c r="CP169" s="329" t="s">
        <v>934</v>
      </c>
      <c r="CQ169" s="330">
        <v>2056</v>
      </c>
      <c r="CR169" s="330">
        <v>842</v>
      </c>
      <c r="CS169" s="330">
        <v>545</v>
      </c>
      <c r="CT169" s="330">
        <v>332</v>
      </c>
      <c r="CU169" s="330">
        <v>161</v>
      </c>
      <c r="CV169" s="330">
        <v>60</v>
      </c>
      <c r="CW169" s="330">
        <v>65</v>
      </c>
      <c r="CX169" s="330">
        <v>9</v>
      </c>
      <c r="CY169" s="328">
        <v>4070</v>
      </c>
      <c r="CZ169" s="322" t="s">
        <v>934</v>
      </c>
      <c r="DA169" s="323">
        <v>0</v>
      </c>
      <c r="DB169" s="323">
        <v>0</v>
      </c>
      <c r="DC169" s="323">
        <v>0</v>
      </c>
      <c r="DD169" s="323">
        <v>0</v>
      </c>
      <c r="DE169" s="323">
        <v>0</v>
      </c>
      <c r="DF169" s="323">
        <v>0</v>
      </c>
      <c r="DG169" s="323">
        <v>0</v>
      </c>
      <c r="DH169" s="323">
        <v>0</v>
      </c>
      <c r="DI169" s="323">
        <v>0</v>
      </c>
      <c r="DJ169" s="337">
        <v>1</v>
      </c>
      <c r="DK169" s="644">
        <v>229346.3</v>
      </c>
      <c r="DL169" s="614">
        <v>130942</v>
      </c>
      <c r="DM169" s="614">
        <v>67587</v>
      </c>
      <c r="DN169" s="614">
        <v>62301</v>
      </c>
      <c r="DO169" s="614">
        <v>30341</v>
      </c>
      <c r="DP169" s="614">
        <v>19046</v>
      </c>
      <c r="DQ169" s="614">
        <v>9201</v>
      </c>
      <c r="DR169" s="614">
        <v>6436</v>
      </c>
      <c r="DS169" s="615">
        <v>652</v>
      </c>
      <c r="DT169" s="607">
        <f t="shared" si="2"/>
        <v>326506</v>
      </c>
      <c r="DU169" s="342"/>
      <c r="EC169" s="646"/>
      <c r="EF169" s="126"/>
      <c r="EG169" s="124"/>
    </row>
    <row r="170" spans="1:137" ht="15">
      <c r="A170" s="22">
        <v>162</v>
      </c>
      <c r="B170" s="23" t="s">
        <v>457</v>
      </c>
      <c r="C170" s="24" t="s">
        <v>458</v>
      </c>
      <c r="D170" s="613"/>
      <c r="E170" s="630">
        <v>74240</v>
      </c>
      <c r="F170" s="630">
        <v>23091</v>
      </c>
      <c r="G170" s="630">
        <v>14132</v>
      </c>
      <c r="H170" s="630">
        <v>5880</v>
      </c>
      <c r="I170" s="630">
        <v>2771</v>
      </c>
      <c r="J170" s="630">
        <v>1233</v>
      </c>
      <c r="K170" s="630">
        <v>575</v>
      </c>
      <c r="L170" s="630">
        <v>69</v>
      </c>
      <c r="M170" s="627">
        <v>121991</v>
      </c>
      <c r="N170" s="322"/>
      <c r="O170" s="323">
        <v>3775</v>
      </c>
      <c r="P170" s="323">
        <v>1372</v>
      </c>
      <c r="Q170" s="323">
        <v>1095</v>
      </c>
      <c r="R170" s="323">
        <v>587</v>
      </c>
      <c r="S170" s="323">
        <v>152</v>
      </c>
      <c r="T170" s="323">
        <v>20</v>
      </c>
      <c r="U170" s="323">
        <v>19</v>
      </c>
      <c r="V170" s="323">
        <v>7</v>
      </c>
      <c r="W170" s="323">
        <v>7027</v>
      </c>
      <c r="X170" s="329" t="s">
        <v>934</v>
      </c>
      <c r="Y170" s="330">
        <v>0</v>
      </c>
      <c r="Z170" s="330">
        <v>0</v>
      </c>
      <c r="AA170" s="330">
        <v>0</v>
      </c>
      <c r="AB170" s="330">
        <v>0</v>
      </c>
      <c r="AC170" s="330">
        <v>0</v>
      </c>
      <c r="AD170" s="330">
        <v>0</v>
      </c>
      <c r="AE170" s="330">
        <v>0</v>
      </c>
      <c r="AF170" s="330">
        <v>0</v>
      </c>
      <c r="AG170" s="328">
        <v>0</v>
      </c>
      <c r="AH170" s="329" t="s">
        <v>934</v>
      </c>
      <c r="AI170" s="184">
        <v>149</v>
      </c>
      <c r="AJ170" s="184">
        <v>131</v>
      </c>
      <c r="AK170" s="184">
        <v>110</v>
      </c>
      <c r="AL170" s="184">
        <v>47</v>
      </c>
      <c r="AM170" s="184">
        <v>35</v>
      </c>
      <c r="AN170" s="184">
        <v>21</v>
      </c>
      <c r="AO170" s="184">
        <v>17</v>
      </c>
      <c r="AP170" s="184">
        <v>20</v>
      </c>
      <c r="AQ170" s="336">
        <v>530</v>
      </c>
      <c r="AR170" s="323">
        <v>28</v>
      </c>
      <c r="AS170" s="323">
        <v>32976</v>
      </c>
      <c r="AT170" s="323">
        <v>6674</v>
      </c>
      <c r="AU170" s="323">
        <v>3187</v>
      </c>
      <c r="AV170" s="323">
        <v>1100</v>
      </c>
      <c r="AW170" s="323">
        <v>412</v>
      </c>
      <c r="AX170" s="323">
        <v>176</v>
      </c>
      <c r="AY170" s="323">
        <v>82</v>
      </c>
      <c r="AZ170" s="323">
        <v>1</v>
      </c>
      <c r="BA170" s="323">
        <v>44636</v>
      </c>
      <c r="BB170" s="331">
        <v>2</v>
      </c>
      <c r="BC170" s="330">
        <v>579</v>
      </c>
      <c r="BD170" s="330">
        <v>223</v>
      </c>
      <c r="BE170" s="330">
        <v>137</v>
      </c>
      <c r="BF170" s="330">
        <v>50</v>
      </c>
      <c r="BG170" s="330">
        <v>21</v>
      </c>
      <c r="BH170" s="330">
        <v>6</v>
      </c>
      <c r="BI170" s="330">
        <v>2</v>
      </c>
      <c r="BJ170" s="330">
        <v>0</v>
      </c>
      <c r="BK170" s="328">
        <v>1020</v>
      </c>
      <c r="BL170" s="323">
        <v>1</v>
      </c>
      <c r="BM170" s="323">
        <v>98</v>
      </c>
      <c r="BN170" s="323">
        <v>22</v>
      </c>
      <c r="BO170" s="323">
        <v>26</v>
      </c>
      <c r="BP170" s="323">
        <v>20</v>
      </c>
      <c r="BQ170" s="323">
        <v>29</v>
      </c>
      <c r="BR170" s="323">
        <v>32</v>
      </c>
      <c r="BS170" s="323">
        <v>40</v>
      </c>
      <c r="BT170" s="323">
        <v>14</v>
      </c>
      <c r="BU170" s="323">
        <v>282</v>
      </c>
      <c r="BV170" s="329" t="s">
        <v>934</v>
      </c>
      <c r="BW170" s="330">
        <v>298</v>
      </c>
      <c r="BX170" s="330">
        <v>101</v>
      </c>
      <c r="BY170" s="330">
        <v>67</v>
      </c>
      <c r="BZ170" s="330">
        <v>37</v>
      </c>
      <c r="CA170" s="330">
        <v>14</v>
      </c>
      <c r="CB170" s="330">
        <v>5</v>
      </c>
      <c r="CC170" s="330">
        <v>5</v>
      </c>
      <c r="CD170" s="330">
        <v>2</v>
      </c>
      <c r="CE170" s="328">
        <v>529</v>
      </c>
      <c r="CF170" s="322" t="s">
        <v>934</v>
      </c>
      <c r="CG170" s="323">
        <v>267</v>
      </c>
      <c r="CH170" s="323">
        <v>76</v>
      </c>
      <c r="CI170" s="323">
        <v>28</v>
      </c>
      <c r="CJ170" s="323">
        <v>10</v>
      </c>
      <c r="CK170" s="323">
        <v>1</v>
      </c>
      <c r="CL170" s="323">
        <v>0</v>
      </c>
      <c r="CM170" s="323">
        <v>0</v>
      </c>
      <c r="CN170" s="323">
        <v>0</v>
      </c>
      <c r="CO170" s="323">
        <v>382</v>
      </c>
      <c r="CP170" s="329" t="s">
        <v>934</v>
      </c>
      <c r="CQ170" s="330">
        <v>1166</v>
      </c>
      <c r="CR170" s="330">
        <v>429</v>
      </c>
      <c r="CS170" s="330">
        <v>264</v>
      </c>
      <c r="CT170" s="330">
        <v>110</v>
      </c>
      <c r="CU170" s="330">
        <v>57</v>
      </c>
      <c r="CV170" s="330">
        <v>20</v>
      </c>
      <c r="CW170" s="330">
        <v>15</v>
      </c>
      <c r="CX170" s="330">
        <v>4</v>
      </c>
      <c r="CY170" s="328">
        <v>2065</v>
      </c>
      <c r="CZ170" s="322" t="s">
        <v>934</v>
      </c>
      <c r="DA170" s="323">
        <v>0</v>
      </c>
      <c r="DB170" s="323">
        <v>0</v>
      </c>
      <c r="DC170" s="323">
        <v>0</v>
      </c>
      <c r="DD170" s="323">
        <v>0</v>
      </c>
      <c r="DE170" s="323">
        <v>0</v>
      </c>
      <c r="DF170" s="323">
        <v>0</v>
      </c>
      <c r="DG170" s="323">
        <v>0</v>
      </c>
      <c r="DH170" s="323">
        <v>0</v>
      </c>
      <c r="DI170" s="323">
        <v>0</v>
      </c>
      <c r="DJ170" s="337">
        <v>0</v>
      </c>
      <c r="DK170" s="644">
        <v>77992.6</v>
      </c>
      <c r="DL170" s="614">
        <v>74616</v>
      </c>
      <c r="DM170" s="614">
        <v>23459</v>
      </c>
      <c r="DN170" s="614">
        <v>14608</v>
      </c>
      <c r="DO170" s="614">
        <v>6029</v>
      </c>
      <c r="DP170" s="614">
        <v>2813</v>
      </c>
      <c r="DQ170" s="614">
        <v>1275</v>
      </c>
      <c r="DR170" s="614">
        <v>587</v>
      </c>
      <c r="DS170" s="615">
        <v>64</v>
      </c>
      <c r="DT170" s="607">
        <f t="shared" si="2"/>
        <v>123451</v>
      </c>
      <c r="DU170" s="342"/>
      <c r="EC170" s="646"/>
      <c r="EF170" s="127"/>
      <c r="EG170" s="124"/>
    </row>
    <row r="171" spans="1:137" ht="15">
      <c r="A171" s="22">
        <v>163</v>
      </c>
      <c r="B171" s="23" t="s">
        <v>459</v>
      </c>
      <c r="C171" s="24" t="s">
        <v>460</v>
      </c>
      <c r="D171" s="613"/>
      <c r="E171" s="626">
        <v>3911</v>
      </c>
      <c r="F171" s="626">
        <v>5600</v>
      </c>
      <c r="G171" s="626">
        <v>12649</v>
      </c>
      <c r="H171" s="626">
        <v>9101</v>
      </c>
      <c r="I171" s="626">
        <v>5362</v>
      </c>
      <c r="J171" s="626">
        <v>2842</v>
      </c>
      <c r="K171" s="626">
        <v>2182</v>
      </c>
      <c r="L171" s="626">
        <v>208</v>
      </c>
      <c r="M171" s="627">
        <v>41855</v>
      </c>
      <c r="N171" s="322"/>
      <c r="O171" s="323">
        <v>166</v>
      </c>
      <c r="P171" s="323">
        <v>183</v>
      </c>
      <c r="Q171" s="323">
        <v>250</v>
      </c>
      <c r="R171" s="323">
        <v>179</v>
      </c>
      <c r="S171" s="323">
        <v>74</v>
      </c>
      <c r="T171" s="323">
        <v>43</v>
      </c>
      <c r="U171" s="323">
        <v>24</v>
      </c>
      <c r="V171" s="323">
        <v>2</v>
      </c>
      <c r="W171" s="323">
        <v>921</v>
      </c>
      <c r="X171" s="329" t="s">
        <v>934</v>
      </c>
      <c r="Y171" s="330">
        <v>1</v>
      </c>
      <c r="Z171" s="330">
        <v>0</v>
      </c>
      <c r="AA171" s="330">
        <v>0</v>
      </c>
      <c r="AB171" s="330">
        <v>2</v>
      </c>
      <c r="AC171" s="330">
        <v>1</v>
      </c>
      <c r="AD171" s="330">
        <v>0</v>
      </c>
      <c r="AE171" s="330">
        <v>1</v>
      </c>
      <c r="AF171" s="330">
        <v>1</v>
      </c>
      <c r="AG171" s="328">
        <v>6</v>
      </c>
      <c r="AH171" s="329" t="s">
        <v>934</v>
      </c>
      <c r="AI171" s="184">
        <v>7</v>
      </c>
      <c r="AJ171" s="184">
        <v>25</v>
      </c>
      <c r="AK171" s="184">
        <v>83</v>
      </c>
      <c r="AL171" s="184">
        <v>75</v>
      </c>
      <c r="AM171" s="184">
        <v>54</v>
      </c>
      <c r="AN171" s="184">
        <v>42</v>
      </c>
      <c r="AO171" s="184">
        <v>38</v>
      </c>
      <c r="AP171" s="184">
        <v>12</v>
      </c>
      <c r="AQ171" s="336">
        <v>336</v>
      </c>
      <c r="AR171" s="323">
        <v>4</v>
      </c>
      <c r="AS171" s="323">
        <v>2464</v>
      </c>
      <c r="AT171" s="323">
        <v>2578</v>
      </c>
      <c r="AU171" s="323">
        <v>4224</v>
      </c>
      <c r="AV171" s="323">
        <v>2580</v>
      </c>
      <c r="AW171" s="323">
        <v>1234</v>
      </c>
      <c r="AX171" s="323">
        <v>483</v>
      </c>
      <c r="AY171" s="323">
        <v>261</v>
      </c>
      <c r="AZ171" s="323">
        <v>11</v>
      </c>
      <c r="BA171" s="323">
        <v>13839</v>
      </c>
      <c r="BB171" s="331">
        <v>0</v>
      </c>
      <c r="BC171" s="330">
        <v>20</v>
      </c>
      <c r="BD171" s="330">
        <v>41</v>
      </c>
      <c r="BE171" s="330">
        <v>102</v>
      </c>
      <c r="BF171" s="330">
        <v>53</v>
      </c>
      <c r="BG171" s="330">
        <v>30</v>
      </c>
      <c r="BH171" s="330">
        <v>14</v>
      </c>
      <c r="BI171" s="330">
        <v>9</v>
      </c>
      <c r="BJ171" s="330">
        <v>0</v>
      </c>
      <c r="BK171" s="328">
        <v>269</v>
      </c>
      <c r="BL171" s="323">
        <v>1</v>
      </c>
      <c r="BM171" s="323">
        <v>1</v>
      </c>
      <c r="BN171" s="323">
        <v>7</v>
      </c>
      <c r="BO171" s="323">
        <v>11</v>
      </c>
      <c r="BP171" s="323">
        <v>9</v>
      </c>
      <c r="BQ171" s="323">
        <v>11</v>
      </c>
      <c r="BR171" s="323">
        <v>14</v>
      </c>
      <c r="BS171" s="323">
        <v>15</v>
      </c>
      <c r="BT171" s="323">
        <v>2</v>
      </c>
      <c r="BU171" s="323">
        <v>71</v>
      </c>
      <c r="BV171" s="329" t="s">
        <v>934</v>
      </c>
      <c r="BW171" s="330">
        <v>55</v>
      </c>
      <c r="BX171" s="330">
        <v>67</v>
      </c>
      <c r="BY171" s="330">
        <v>115</v>
      </c>
      <c r="BZ171" s="330">
        <v>94</v>
      </c>
      <c r="CA171" s="330">
        <v>49</v>
      </c>
      <c r="CB171" s="330">
        <v>25</v>
      </c>
      <c r="CC171" s="330">
        <v>30</v>
      </c>
      <c r="CD171" s="330">
        <v>10</v>
      </c>
      <c r="CE171" s="328">
        <v>445</v>
      </c>
      <c r="CF171" s="322" t="s">
        <v>934</v>
      </c>
      <c r="CG171" s="323">
        <v>0</v>
      </c>
      <c r="CH171" s="323">
        <v>0</v>
      </c>
      <c r="CI171" s="323">
        <v>0</v>
      </c>
      <c r="CJ171" s="323">
        <v>0</v>
      </c>
      <c r="CK171" s="323">
        <v>0</v>
      </c>
      <c r="CL171" s="323">
        <v>0</v>
      </c>
      <c r="CM171" s="323">
        <v>0</v>
      </c>
      <c r="CN171" s="323">
        <v>0</v>
      </c>
      <c r="CO171" s="323">
        <v>0</v>
      </c>
      <c r="CP171" s="329" t="s">
        <v>934</v>
      </c>
      <c r="CQ171" s="330">
        <v>53</v>
      </c>
      <c r="CR171" s="330">
        <v>60</v>
      </c>
      <c r="CS171" s="330">
        <v>78</v>
      </c>
      <c r="CT171" s="330">
        <v>51</v>
      </c>
      <c r="CU171" s="330">
        <v>27</v>
      </c>
      <c r="CV171" s="330">
        <v>15</v>
      </c>
      <c r="CW171" s="330">
        <v>12</v>
      </c>
      <c r="CX171" s="330">
        <v>3</v>
      </c>
      <c r="CY171" s="328">
        <v>299</v>
      </c>
      <c r="CZ171" s="322" t="s">
        <v>934</v>
      </c>
      <c r="DA171" s="323">
        <v>0</v>
      </c>
      <c r="DB171" s="323">
        <v>0</v>
      </c>
      <c r="DC171" s="323">
        <v>0</v>
      </c>
      <c r="DD171" s="323">
        <v>0</v>
      </c>
      <c r="DE171" s="323">
        <v>0</v>
      </c>
      <c r="DF171" s="323">
        <v>0</v>
      </c>
      <c r="DG171" s="323">
        <v>0</v>
      </c>
      <c r="DH171" s="323">
        <v>0</v>
      </c>
      <c r="DI171" s="323">
        <v>0</v>
      </c>
      <c r="DJ171" s="337">
        <v>0</v>
      </c>
      <c r="DK171" s="644">
        <v>37609</v>
      </c>
      <c r="DL171" s="614">
        <v>3954</v>
      </c>
      <c r="DM171" s="614">
        <v>5633</v>
      </c>
      <c r="DN171" s="614">
        <v>12727</v>
      </c>
      <c r="DO171" s="614">
        <v>9178</v>
      </c>
      <c r="DP171" s="614">
        <v>5428</v>
      </c>
      <c r="DQ171" s="614">
        <v>2856</v>
      </c>
      <c r="DR171" s="614">
        <v>2189</v>
      </c>
      <c r="DS171" s="615">
        <v>215</v>
      </c>
      <c r="DT171" s="607">
        <f t="shared" si="2"/>
        <v>42180</v>
      </c>
      <c r="DU171" s="342"/>
      <c r="EC171" s="646"/>
      <c r="EF171" s="123"/>
      <c r="EG171" s="124"/>
    </row>
    <row r="172" spans="1:137" ht="15">
      <c r="A172" s="22">
        <v>164</v>
      </c>
      <c r="B172" s="23" t="s">
        <v>461</v>
      </c>
      <c r="C172" s="24" t="s">
        <v>462</v>
      </c>
      <c r="D172" s="613"/>
      <c r="E172" s="629">
        <v>6940</v>
      </c>
      <c r="F172" s="629">
        <v>30673</v>
      </c>
      <c r="G172" s="629">
        <v>39634</v>
      </c>
      <c r="H172" s="629">
        <v>24992</v>
      </c>
      <c r="I172" s="629">
        <v>7230</v>
      </c>
      <c r="J172" s="629">
        <v>2777</v>
      </c>
      <c r="K172" s="629">
        <v>1295</v>
      </c>
      <c r="L172" s="629">
        <v>174</v>
      </c>
      <c r="M172" s="633">
        <v>113715</v>
      </c>
      <c r="N172" s="322"/>
      <c r="O172" s="323">
        <v>348</v>
      </c>
      <c r="P172" s="323">
        <v>1295</v>
      </c>
      <c r="Q172" s="323">
        <v>1127</v>
      </c>
      <c r="R172" s="323">
        <v>537</v>
      </c>
      <c r="S172" s="323">
        <v>140</v>
      </c>
      <c r="T172" s="323">
        <v>52</v>
      </c>
      <c r="U172" s="323">
        <v>23</v>
      </c>
      <c r="V172" s="323">
        <v>4</v>
      </c>
      <c r="W172" s="323">
        <v>3526</v>
      </c>
      <c r="X172" s="329" t="s">
        <v>934</v>
      </c>
      <c r="Y172" s="330">
        <v>0</v>
      </c>
      <c r="Z172" s="330">
        <v>0</v>
      </c>
      <c r="AA172" s="330">
        <v>1</v>
      </c>
      <c r="AB172" s="330">
        <v>1</v>
      </c>
      <c r="AC172" s="330">
        <v>0</v>
      </c>
      <c r="AD172" s="330">
        <v>1</v>
      </c>
      <c r="AE172" s="330">
        <v>1</v>
      </c>
      <c r="AF172" s="330">
        <v>0</v>
      </c>
      <c r="AG172" s="328">
        <v>4</v>
      </c>
      <c r="AH172" s="329" t="s">
        <v>934</v>
      </c>
      <c r="AI172" s="184">
        <v>9</v>
      </c>
      <c r="AJ172" s="184">
        <v>34</v>
      </c>
      <c r="AK172" s="184">
        <v>94</v>
      </c>
      <c r="AL172" s="184">
        <v>104</v>
      </c>
      <c r="AM172" s="184">
        <v>40</v>
      </c>
      <c r="AN172" s="184">
        <v>26</v>
      </c>
      <c r="AO172" s="184">
        <v>15</v>
      </c>
      <c r="AP172" s="184">
        <v>11</v>
      </c>
      <c r="AQ172" s="336">
        <v>333</v>
      </c>
      <c r="AR172" s="323">
        <v>4</v>
      </c>
      <c r="AS172" s="323">
        <v>4788</v>
      </c>
      <c r="AT172" s="323">
        <v>17681</v>
      </c>
      <c r="AU172" s="323">
        <v>17886</v>
      </c>
      <c r="AV172" s="323">
        <v>7760</v>
      </c>
      <c r="AW172" s="323">
        <v>1665</v>
      </c>
      <c r="AX172" s="323">
        <v>457</v>
      </c>
      <c r="AY172" s="323">
        <v>150</v>
      </c>
      <c r="AZ172" s="323">
        <v>10</v>
      </c>
      <c r="BA172" s="323">
        <v>50401</v>
      </c>
      <c r="BB172" s="331">
        <v>0</v>
      </c>
      <c r="BC172" s="330">
        <v>37</v>
      </c>
      <c r="BD172" s="330">
        <v>348</v>
      </c>
      <c r="BE172" s="330">
        <v>336</v>
      </c>
      <c r="BF172" s="330">
        <v>324</v>
      </c>
      <c r="BG172" s="330">
        <v>67</v>
      </c>
      <c r="BH172" s="330">
        <v>21</v>
      </c>
      <c r="BI172" s="330">
        <v>2</v>
      </c>
      <c r="BJ172" s="330">
        <v>1</v>
      </c>
      <c r="BK172" s="328">
        <v>1136</v>
      </c>
      <c r="BL172" s="323">
        <v>0</v>
      </c>
      <c r="BM172" s="323">
        <v>2</v>
      </c>
      <c r="BN172" s="323">
        <v>12</v>
      </c>
      <c r="BO172" s="323">
        <v>19</v>
      </c>
      <c r="BP172" s="323">
        <v>22</v>
      </c>
      <c r="BQ172" s="323">
        <v>35</v>
      </c>
      <c r="BR172" s="323">
        <v>52</v>
      </c>
      <c r="BS172" s="323">
        <v>44</v>
      </c>
      <c r="BT172" s="323">
        <v>20</v>
      </c>
      <c r="BU172" s="323">
        <v>206</v>
      </c>
      <c r="BV172" s="329" t="s">
        <v>934</v>
      </c>
      <c r="BW172" s="330">
        <v>34</v>
      </c>
      <c r="BX172" s="330">
        <v>146</v>
      </c>
      <c r="BY172" s="330">
        <v>201</v>
      </c>
      <c r="BZ172" s="330">
        <v>74</v>
      </c>
      <c r="CA172" s="330">
        <v>27</v>
      </c>
      <c r="CB172" s="330">
        <v>6</v>
      </c>
      <c r="CC172" s="330">
        <v>3</v>
      </c>
      <c r="CD172" s="330">
        <v>0</v>
      </c>
      <c r="CE172" s="328">
        <v>491</v>
      </c>
      <c r="CF172" s="322" t="s">
        <v>934</v>
      </c>
      <c r="CG172" s="323">
        <v>0</v>
      </c>
      <c r="CH172" s="323">
        <v>0</v>
      </c>
      <c r="CI172" s="323">
        <v>0</v>
      </c>
      <c r="CJ172" s="323">
        <v>0</v>
      </c>
      <c r="CK172" s="323">
        <v>0</v>
      </c>
      <c r="CL172" s="323">
        <v>0</v>
      </c>
      <c r="CM172" s="323">
        <v>0</v>
      </c>
      <c r="CN172" s="323">
        <v>0</v>
      </c>
      <c r="CO172" s="323">
        <v>0</v>
      </c>
      <c r="CP172" s="329" t="s">
        <v>934</v>
      </c>
      <c r="CQ172" s="330">
        <v>0</v>
      </c>
      <c r="CR172" s="330">
        <v>0</v>
      </c>
      <c r="CS172" s="330">
        <v>0</v>
      </c>
      <c r="CT172" s="330">
        <v>0</v>
      </c>
      <c r="CU172" s="330">
        <v>0</v>
      </c>
      <c r="CV172" s="330">
        <v>0</v>
      </c>
      <c r="CW172" s="330">
        <v>0</v>
      </c>
      <c r="CX172" s="330">
        <v>0</v>
      </c>
      <c r="CY172" s="328">
        <v>0</v>
      </c>
      <c r="CZ172" s="322" t="s">
        <v>934</v>
      </c>
      <c r="DA172" s="323">
        <v>0</v>
      </c>
      <c r="DB172" s="323">
        <v>0</v>
      </c>
      <c r="DC172" s="323">
        <v>0</v>
      </c>
      <c r="DD172" s="323">
        <v>0</v>
      </c>
      <c r="DE172" s="323">
        <v>0</v>
      </c>
      <c r="DF172" s="323">
        <v>0</v>
      </c>
      <c r="DG172" s="323">
        <v>0</v>
      </c>
      <c r="DH172" s="323">
        <v>0</v>
      </c>
      <c r="DI172" s="323">
        <v>0</v>
      </c>
      <c r="DJ172" s="337">
        <v>0</v>
      </c>
      <c r="DK172" s="644">
        <v>89426.3</v>
      </c>
      <c r="DL172" s="616">
        <v>7003</v>
      </c>
      <c r="DM172" s="616">
        <v>31099</v>
      </c>
      <c r="DN172" s="616">
        <v>40163</v>
      </c>
      <c r="DO172" s="616">
        <v>25081</v>
      </c>
      <c r="DP172" s="616">
        <v>7233</v>
      </c>
      <c r="DQ172" s="616">
        <v>2771</v>
      </c>
      <c r="DR172" s="616">
        <v>1293</v>
      </c>
      <c r="DS172" s="617">
        <v>174</v>
      </c>
      <c r="DT172" s="608">
        <f t="shared" si="2"/>
        <v>114817</v>
      </c>
      <c r="DU172" s="342"/>
      <c r="EC172" s="646"/>
      <c r="EF172" s="125"/>
      <c r="EG172" s="128"/>
    </row>
    <row r="173" spans="1:137" ht="15">
      <c r="A173" s="22">
        <v>165</v>
      </c>
      <c r="B173" s="23" t="s">
        <v>463</v>
      </c>
      <c r="C173" s="24" t="s">
        <v>464</v>
      </c>
      <c r="D173" s="613"/>
      <c r="E173" s="628">
        <v>5540</v>
      </c>
      <c r="F173" s="628">
        <v>9761</v>
      </c>
      <c r="G173" s="628">
        <v>9825</v>
      </c>
      <c r="H173" s="628">
        <v>5906</v>
      </c>
      <c r="I173" s="628">
        <v>4538</v>
      </c>
      <c r="J173" s="628">
        <v>3195</v>
      </c>
      <c r="K173" s="628">
        <v>2413</v>
      </c>
      <c r="L173" s="628">
        <v>380</v>
      </c>
      <c r="M173" s="627">
        <v>41558</v>
      </c>
      <c r="N173" s="322"/>
      <c r="O173" s="323">
        <v>151</v>
      </c>
      <c r="P173" s="323">
        <v>214</v>
      </c>
      <c r="Q173" s="323">
        <v>218</v>
      </c>
      <c r="R173" s="323">
        <v>97</v>
      </c>
      <c r="S173" s="323">
        <v>48</v>
      </c>
      <c r="T173" s="323">
        <v>38</v>
      </c>
      <c r="U173" s="323">
        <v>37</v>
      </c>
      <c r="V173" s="323">
        <v>5</v>
      </c>
      <c r="W173" s="323">
        <v>808</v>
      </c>
      <c r="X173" s="329" t="s">
        <v>934</v>
      </c>
      <c r="Y173" s="330">
        <v>0</v>
      </c>
      <c r="Z173" s="330">
        <v>0</v>
      </c>
      <c r="AA173" s="330">
        <v>0</v>
      </c>
      <c r="AB173" s="330">
        <v>0</v>
      </c>
      <c r="AC173" s="330">
        <v>0</v>
      </c>
      <c r="AD173" s="330">
        <v>0</v>
      </c>
      <c r="AE173" s="330">
        <v>0</v>
      </c>
      <c r="AF173" s="330">
        <v>0</v>
      </c>
      <c r="AG173" s="328">
        <v>0</v>
      </c>
      <c r="AH173" s="329" t="s">
        <v>934</v>
      </c>
      <c r="AI173" s="184">
        <v>18</v>
      </c>
      <c r="AJ173" s="184">
        <v>69</v>
      </c>
      <c r="AK173" s="184">
        <v>88</v>
      </c>
      <c r="AL173" s="184">
        <v>51</v>
      </c>
      <c r="AM173" s="184">
        <v>34</v>
      </c>
      <c r="AN173" s="184">
        <v>26</v>
      </c>
      <c r="AO173" s="184">
        <v>30</v>
      </c>
      <c r="AP173" s="184">
        <v>14</v>
      </c>
      <c r="AQ173" s="336">
        <v>330</v>
      </c>
      <c r="AR173" s="323">
        <v>9</v>
      </c>
      <c r="AS173" s="323">
        <v>2863</v>
      </c>
      <c r="AT173" s="323">
        <v>3307</v>
      </c>
      <c r="AU173" s="323">
        <v>2764</v>
      </c>
      <c r="AV173" s="323">
        <v>1326</v>
      </c>
      <c r="AW173" s="323">
        <v>737</v>
      </c>
      <c r="AX173" s="323">
        <v>408</v>
      </c>
      <c r="AY173" s="323">
        <v>284</v>
      </c>
      <c r="AZ173" s="323">
        <v>37</v>
      </c>
      <c r="BA173" s="323">
        <v>11735</v>
      </c>
      <c r="BB173" s="331">
        <v>0</v>
      </c>
      <c r="BC173" s="330">
        <v>20</v>
      </c>
      <c r="BD173" s="330">
        <v>60</v>
      </c>
      <c r="BE173" s="330">
        <v>41</v>
      </c>
      <c r="BF173" s="330">
        <v>19</v>
      </c>
      <c r="BG173" s="330">
        <v>14</v>
      </c>
      <c r="BH173" s="330">
        <v>9</v>
      </c>
      <c r="BI173" s="330">
        <v>2</v>
      </c>
      <c r="BJ173" s="330">
        <v>0</v>
      </c>
      <c r="BK173" s="328">
        <v>165</v>
      </c>
      <c r="BL173" s="323">
        <v>0</v>
      </c>
      <c r="BM173" s="323">
        <v>3</v>
      </c>
      <c r="BN173" s="323">
        <v>3</v>
      </c>
      <c r="BO173" s="323">
        <v>1</v>
      </c>
      <c r="BP173" s="323">
        <v>5</v>
      </c>
      <c r="BQ173" s="323">
        <v>2</v>
      </c>
      <c r="BR173" s="323">
        <v>5</v>
      </c>
      <c r="BS173" s="323">
        <v>12</v>
      </c>
      <c r="BT173" s="323">
        <v>2</v>
      </c>
      <c r="BU173" s="323">
        <v>33</v>
      </c>
      <c r="BV173" s="329" t="s">
        <v>934</v>
      </c>
      <c r="BW173" s="330">
        <v>6</v>
      </c>
      <c r="BX173" s="330">
        <v>21</v>
      </c>
      <c r="BY173" s="330">
        <v>15</v>
      </c>
      <c r="BZ173" s="330">
        <v>13</v>
      </c>
      <c r="CA173" s="330">
        <v>9</v>
      </c>
      <c r="CB173" s="330">
        <v>5</v>
      </c>
      <c r="CC173" s="330">
        <v>3</v>
      </c>
      <c r="CD173" s="330">
        <v>0</v>
      </c>
      <c r="CE173" s="328">
        <v>72</v>
      </c>
      <c r="CF173" s="322" t="s">
        <v>934</v>
      </c>
      <c r="CG173" s="323">
        <v>112</v>
      </c>
      <c r="CH173" s="323">
        <v>109</v>
      </c>
      <c r="CI173" s="323">
        <v>128</v>
      </c>
      <c r="CJ173" s="323">
        <v>76</v>
      </c>
      <c r="CK173" s="323">
        <v>51</v>
      </c>
      <c r="CL173" s="323">
        <v>36</v>
      </c>
      <c r="CM173" s="323">
        <v>34</v>
      </c>
      <c r="CN173" s="323">
        <v>8</v>
      </c>
      <c r="CO173" s="323">
        <v>554</v>
      </c>
      <c r="CP173" s="329" t="s">
        <v>934</v>
      </c>
      <c r="CQ173" s="330">
        <v>0</v>
      </c>
      <c r="CR173" s="330">
        <v>0</v>
      </c>
      <c r="CS173" s="330">
        <v>0</v>
      </c>
      <c r="CT173" s="330">
        <v>0</v>
      </c>
      <c r="CU173" s="330">
        <v>0</v>
      </c>
      <c r="CV173" s="330">
        <v>0</v>
      </c>
      <c r="CW173" s="330">
        <v>0</v>
      </c>
      <c r="CX173" s="330">
        <v>0</v>
      </c>
      <c r="CY173" s="328">
        <v>0</v>
      </c>
      <c r="CZ173" s="322" t="s">
        <v>934</v>
      </c>
      <c r="DA173" s="323">
        <v>0</v>
      </c>
      <c r="DB173" s="323">
        <v>0</v>
      </c>
      <c r="DC173" s="323">
        <v>0</v>
      </c>
      <c r="DD173" s="323">
        <v>0</v>
      </c>
      <c r="DE173" s="323">
        <v>0</v>
      </c>
      <c r="DF173" s="323">
        <v>0</v>
      </c>
      <c r="DG173" s="323">
        <v>0</v>
      </c>
      <c r="DH173" s="323">
        <v>0</v>
      </c>
      <c r="DI173" s="323">
        <v>0</v>
      </c>
      <c r="DJ173" s="337">
        <v>119.3</v>
      </c>
      <c r="DK173" s="644">
        <v>37255.3</v>
      </c>
      <c r="DL173" s="614">
        <v>5565</v>
      </c>
      <c r="DM173" s="614">
        <v>9797</v>
      </c>
      <c r="DN173" s="614">
        <v>9970</v>
      </c>
      <c r="DO173" s="614">
        <v>5990</v>
      </c>
      <c r="DP173" s="614">
        <v>4577</v>
      </c>
      <c r="DQ173" s="614">
        <v>3258</v>
      </c>
      <c r="DR173" s="614">
        <v>2430</v>
      </c>
      <c r="DS173" s="615">
        <v>379</v>
      </c>
      <c r="DT173" s="607">
        <f t="shared" si="2"/>
        <v>41966</v>
      </c>
      <c r="DU173" s="342"/>
      <c r="EC173" s="646"/>
      <c r="EF173" s="123"/>
      <c r="EG173" s="124"/>
    </row>
    <row r="174" spans="1:137" ht="15">
      <c r="A174" s="22">
        <v>166</v>
      </c>
      <c r="B174" s="23" t="s">
        <v>465</v>
      </c>
      <c r="C174" s="24" t="s">
        <v>466</v>
      </c>
      <c r="D174" s="613"/>
      <c r="E174" s="630">
        <v>24344</v>
      </c>
      <c r="F174" s="630">
        <v>7723</v>
      </c>
      <c r="G174" s="630">
        <v>4393</v>
      </c>
      <c r="H174" s="630">
        <v>2211</v>
      </c>
      <c r="I174" s="630">
        <v>1094</v>
      </c>
      <c r="J174" s="630">
        <v>315</v>
      </c>
      <c r="K174" s="630">
        <v>120</v>
      </c>
      <c r="L174" s="630">
        <v>52</v>
      </c>
      <c r="M174" s="627">
        <v>40252</v>
      </c>
      <c r="N174" s="322"/>
      <c r="O174" s="323">
        <v>1725</v>
      </c>
      <c r="P174" s="323">
        <v>491</v>
      </c>
      <c r="Q174" s="323">
        <v>196</v>
      </c>
      <c r="R174" s="323">
        <v>72</v>
      </c>
      <c r="S174" s="323">
        <v>225</v>
      </c>
      <c r="T174" s="323">
        <v>12</v>
      </c>
      <c r="U174" s="323">
        <v>5</v>
      </c>
      <c r="V174" s="323">
        <v>26</v>
      </c>
      <c r="W174" s="323">
        <v>2752</v>
      </c>
      <c r="X174" s="329" t="s">
        <v>934</v>
      </c>
      <c r="Y174" s="330">
        <v>0</v>
      </c>
      <c r="Z174" s="330">
        <v>0</v>
      </c>
      <c r="AA174" s="330">
        <v>0</v>
      </c>
      <c r="AB174" s="330">
        <v>0</v>
      </c>
      <c r="AC174" s="330">
        <v>0</v>
      </c>
      <c r="AD174" s="330">
        <v>0</v>
      </c>
      <c r="AE174" s="330">
        <v>0</v>
      </c>
      <c r="AF174" s="330">
        <v>0</v>
      </c>
      <c r="AG174" s="328">
        <v>0</v>
      </c>
      <c r="AH174" s="329" t="s">
        <v>934</v>
      </c>
      <c r="AI174" s="184">
        <v>85</v>
      </c>
      <c r="AJ174" s="184">
        <v>73</v>
      </c>
      <c r="AK174" s="184">
        <v>47</v>
      </c>
      <c r="AL174" s="184">
        <v>32</v>
      </c>
      <c r="AM174" s="184">
        <v>11</v>
      </c>
      <c r="AN174" s="184">
        <v>11</v>
      </c>
      <c r="AO174" s="184">
        <v>6</v>
      </c>
      <c r="AP174" s="184">
        <v>14</v>
      </c>
      <c r="AQ174" s="336">
        <v>279</v>
      </c>
      <c r="AR174" s="323">
        <v>17</v>
      </c>
      <c r="AS174" s="323">
        <v>11187</v>
      </c>
      <c r="AT174" s="323">
        <v>2254</v>
      </c>
      <c r="AU174" s="323">
        <v>1142</v>
      </c>
      <c r="AV174" s="323">
        <v>479</v>
      </c>
      <c r="AW174" s="323">
        <v>141</v>
      </c>
      <c r="AX174" s="323">
        <v>64</v>
      </c>
      <c r="AY174" s="323">
        <v>18</v>
      </c>
      <c r="AZ174" s="323">
        <v>0</v>
      </c>
      <c r="BA174" s="323">
        <v>15302</v>
      </c>
      <c r="BB174" s="331">
        <v>0</v>
      </c>
      <c r="BC174" s="330">
        <v>244</v>
      </c>
      <c r="BD174" s="330">
        <v>67</v>
      </c>
      <c r="BE174" s="330">
        <v>30</v>
      </c>
      <c r="BF174" s="330">
        <v>18</v>
      </c>
      <c r="BG174" s="330">
        <v>6</v>
      </c>
      <c r="BH174" s="330">
        <v>0</v>
      </c>
      <c r="BI174" s="330">
        <v>0</v>
      </c>
      <c r="BJ174" s="330">
        <v>0</v>
      </c>
      <c r="BK174" s="328">
        <v>365</v>
      </c>
      <c r="BL174" s="323">
        <v>0</v>
      </c>
      <c r="BM174" s="323">
        <v>69</v>
      </c>
      <c r="BN174" s="323">
        <v>9</v>
      </c>
      <c r="BO174" s="323">
        <v>12</v>
      </c>
      <c r="BP174" s="323">
        <v>7</v>
      </c>
      <c r="BQ174" s="323">
        <v>6</v>
      </c>
      <c r="BR174" s="323">
        <v>6</v>
      </c>
      <c r="BS174" s="323">
        <v>18</v>
      </c>
      <c r="BT174" s="323">
        <v>7</v>
      </c>
      <c r="BU174" s="323">
        <v>134</v>
      </c>
      <c r="BV174" s="329" t="s">
        <v>934</v>
      </c>
      <c r="BW174" s="330">
        <v>67</v>
      </c>
      <c r="BX174" s="330">
        <v>25</v>
      </c>
      <c r="BY174" s="330">
        <v>16</v>
      </c>
      <c r="BZ174" s="330">
        <v>11</v>
      </c>
      <c r="CA174" s="330">
        <v>6</v>
      </c>
      <c r="CB174" s="330">
        <v>1</v>
      </c>
      <c r="CC174" s="330">
        <v>3</v>
      </c>
      <c r="CD174" s="330">
        <v>0</v>
      </c>
      <c r="CE174" s="328">
        <v>129</v>
      </c>
      <c r="CF174" s="322" t="s">
        <v>934</v>
      </c>
      <c r="CG174" s="323">
        <v>281</v>
      </c>
      <c r="CH174" s="323">
        <v>55</v>
      </c>
      <c r="CI174" s="323">
        <v>36</v>
      </c>
      <c r="CJ174" s="323">
        <v>20</v>
      </c>
      <c r="CK174" s="323">
        <v>9</v>
      </c>
      <c r="CL174" s="323">
        <v>4</v>
      </c>
      <c r="CM174" s="323">
        <v>2</v>
      </c>
      <c r="CN174" s="323">
        <v>0</v>
      </c>
      <c r="CO174" s="323">
        <v>407</v>
      </c>
      <c r="CP174" s="329" t="s">
        <v>934</v>
      </c>
      <c r="CQ174" s="330">
        <v>0</v>
      </c>
      <c r="CR174" s="330">
        <v>0</v>
      </c>
      <c r="CS174" s="330">
        <v>0</v>
      </c>
      <c r="CT174" s="330">
        <v>0</v>
      </c>
      <c r="CU174" s="330">
        <v>0</v>
      </c>
      <c r="CV174" s="330">
        <v>0</v>
      </c>
      <c r="CW174" s="330">
        <v>0</v>
      </c>
      <c r="CX174" s="330">
        <v>0</v>
      </c>
      <c r="CY174" s="328">
        <v>0</v>
      </c>
      <c r="CZ174" s="322" t="s">
        <v>934</v>
      </c>
      <c r="DA174" s="323">
        <v>0</v>
      </c>
      <c r="DB174" s="323">
        <v>0</v>
      </c>
      <c r="DC174" s="323">
        <v>0</v>
      </c>
      <c r="DD174" s="323">
        <v>0</v>
      </c>
      <c r="DE174" s="323">
        <v>0</v>
      </c>
      <c r="DF174" s="323">
        <v>0</v>
      </c>
      <c r="DG174" s="323">
        <v>0</v>
      </c>
      <c r="DH174" s="323">
        <v>0</v>
      </c>
      <c r="DI174" s="323">
        <v>0</v>
      </c>
      <c r="DJ174" s="337">
        <v>0</v>
      </c>
      <c r="DK174" s="644">
        <v>25193.2</v>
      </c>
      <c r="DL174" s="614">
        <v>24777</v>
      </c>
      <c r="DM174" s="614">
        <v>7991</v>
      </c>
      <c r="DN174" s="614">
        <v>4493</v>
      </c>
      <c r="DO174" s="614">
        <v>2294</v>
      </c>
      <c r="DP174" s="614">
        <v>1113</v>
      </c>
      <c r="DQ174" s="614">
        <v>326</v>
      </c>
      <c r="DR174" s="614">
        <v>121</v>
      </c>
      <c r="DS174" s="615">
        <v>53</v>
      </c>
      <c r="DT174" s="607">
        <f t="shared" si="2"/>
        <v>41168</v>
      </c>
      <c r="DU174" s="342"/>
      <c r="EC174" s="646"/>
      <c r="EF174" s="127"/>
      <c r="EG174" s="124"/>
    </row>
    <row r="175" spans="1:137" ht="15">
      <c r="A175" s="22">
        <v>167</v>
      </c>
      <c r="B175" s="23" t="s">
        <v>467</v>
      </c>
      <c r="C175" s="24" t="s">
        <v>468</v>
      </c>
      <c r="D175" s="613"/>
      <c r="E175" s="629">
        <v>132628</v>
      </c>
      <c r="F175" s="629">
        <v>32822</v>
      </c>
      <c r="G175" s="629">
        <v>23587</v>
      </c>
      <c r="H175" s="629">
        <v>12487</v>
      </c>
      <c r="I175" s="629">
        <v>4732</v>
      </c>
      <c r="J175" s="629">
        <v>2173</v>
      </c>
      <c r="K175" s="629">
        <v>1600</v>
      </c>
      <c r="L175" s="629">
        <v>125</v>
      </c>
      <c r="M175" s="627">
        <v>210154</v>
      </c>
      <c r="N175" s="322"/>
      <c r="O175" s="323">
        <v>7329</v>
      </c>
      <c r="P175" s="323">
        <v>3068</v>
      </c>
      <c r="Q175" s="323">
        <v>1330</v>
      </c>
      <c r="R175" s="323">
        <v>524</v>
      </c>
      <c r="S175" s="323">
        <v>141</v>
      </c>
      <c r="T175" s="323">
        <v>53</v>
      </c>
      <c r="U175" s="323">
        <v>37</v>
      </c>
      <c r="V175" s="323">
        <v>14</v>
      </c>
      <c r="W175" s="323">
        <v>12496</v>
      </c>
      <c r="X175" s="329" t="s">
        <v>934</v>
      </c>
      <c r="Y175" s="330">
        <v>0</v>
      </c>
      <c r="Z175" s="330">
        <v>0</v>
      </c>
      <c r="AA175" s="330">
        <v>0</v>
      </c>
      <c r="AB175" s="330">
        <v>0</v>
      </c>
      <c r="AC175" s="330">
        <v>0</v>
      </c>
      <c r="AD175" s="330">
        <v>0</v>
      </c>
      <c r="AE175" s="330">
        <v>0</v>
      </c>
      <c r="AF175" s="330">
        <v>0</v>
      </c>
      <c r="AG175" s="328">
        <v>0</v>
      </c>
      <c r="AH175" s="329" t="s">
        <v>934</v>
      </c>
      <c r="AI175" s="184">
        <v>235</v>
      </c>
      <c r="AJ175" s="184">
        <v>193</v>
      </c>
      <c r="AK175" s="184">
        <v>157</v>
      </c>
      <c r="AL175" s="184">
        <v>110</v>
      </c>
      <c r="AM175" s="184">
        <v>44</v>
      </c>
      <c r="AN175" s="184">
        <v>27</v>
      </c>
      <c r="AO175" s="184">
        <v>44</v>
      </c>
      <c r="AP175" s="184">
        <v>29</v>
      </c>
      <c r="AQ175" s="336">
        <v>839</v>
      </c>
      <c r="AR175" s="323">
        <v>57</v>
      </c>
      <c r="AS175" s="323">
        <v>56386</v>
      </c>
      <c r="AT175" s="323">
        <v>10132</v>
      </c>
      <c r="AU175" s="323">
        <v>6147</v>
      </c>
      <c r="AV175" s="323">
        <v>2823</v>
      </c>
      <c r="AW175" s="323">
        <v>977</v>
      </c>
      <c r="AX175" s="323">
        <v>373</v>
      </c>
      <c r="AY175" s="323">
        <v>213</v>
      </c>
      <c r="AZ175" s="323">
        <v>4</v>
      </c>
      <c r="BA175" s="323">
        <v>77112</v>
      </c>
      <c r="BB175" s="331">
        <v>4</v>
      </c>
      <c r="BC175" s="330">
        <v>1169</v>
      </c>
      <c r="BD175" s="330">
        <v>493</v>
      </c>
      <c r="BE175" s="330">
        <v>342</v>
      </c>
      <c r="BF175" s="330">
        <v>192</v>
      </c>
      <c r="BG175" s="330">
        <v>47</v>
      </c>
      <c r="BH175" s="330">
        <v>28</v>
      </c>
      <c r="BI175" s="330">
        <v>18</v>
      </c>
      <c r="BJ175" s="330">
        <v>1</v>
      </c>
      <c r="BK175" s="328">
        <v>2294</v>
      </c>
      <c r="BL175" s="323">
        <v>1</v>
      </c>
      <c r="BM175" s="323">
        <v>80</v>
      </c>
      <c r="BN175" s="323">
        <v>27</v>
      </c>
      <c r="BO175" s="323">
        <v>38</v>
      </c>
      <c r="BP175" s="323">
        <v>24</v>
      </c>
      <c r="BQ175" s="323">
        <v>16</v>
      </c>
      <c r="BR175" s="323">
        <v>20</v>
      </c>
      <c r="BS175" s="323">
        <v>45</v>
      </c>
      <c r="BT175" s="323">
        <v>11</v>
      </c>
      <c r="BU175" s="323">
        <v>262</v>
      </c>
      <c r="BV175" s="329" t="s">
        <v>934</v>
      </c>
      <c r="BW175" s="330">
        <v>69</v>
      </c>
      <c r="BX175" s="330">
        <v>34</v>
      </c>
      <c r="BY175" s="330">
        <v>54</v>
      </c>
      <c r="BZ175" s="330">
        <v>47</v>
      </c>
      <c r="CA175" s="330">
        <v>33</v>
      </c>
      <c r="CB175" s="330">
        <v>22</v>
      </c>
      <c r="CC175" s="330">
        <v>5</v>
      </c>
      <c r="CD175" s="330">
        <v>0</v>
      </c>
      <c r="CE175" s="328">
        <v>264</v>
      </c>
      <c r="CF175" s="322" t="s">
        <v>934</v>
      </c>
      <c r="CG175" s="323">
        <v>6463</v>
      </c>
      <c r="CH175" s="323">
        <v>768</v>
      </c>
      <c r="CI175" s="323">
        <v>595</v>
      </c>
      <c r="CJ175" s="323">
        <v>288</v>
      </c>
      <c r="CK175" s="323">
        <v>134</v>
      </c>
      <c r="CL175" s="323">
        <v>62</v>
      </c>
      <c r="CM175" s="323">
        <v>44</v>
      </c>
      <c r="CN175" s="323">
        <v>3</v>
      </c>
      <c r="CO175" s="323">
        <v>8357</v>
      </c>
      <c r="CP175" s="329" t="s">
        <v>934</v>
      </c>
      <c r="CQ175" s="330">
        <v>0</v>
      </c>
      <c r="CR175" s="330">
        <v>0</v>
      </c>
      <c r="CS175" s="330">
        <v>0</v>
      </c>
      <c r="CT175" s="330">
        <v>0</v>
      </c>
      <c r="CU175" s="330">
        <v>0</v>
      </c>
      <c r="CV175" s="330">
        <v>0</v>
      </c>
      <c r="CW175" s="330">
        <v>0</v>
      </c>
      <c r="CX175" s="330">
        <v>0</v>
      </c>
      <c r="CY175" s="328">
        <v>0</v>
      </c>
      <c r="CZ175" s="322" t="s">
        <v>934</v>
      </c>
      <c r="DA175" s="323">
        <v>0</v>
      </c>
      <c r="DB175" s="323">
        <v>0</v>
      </c>
      <c r="DC175" s="323">
        <v>0</v>
      </c>
      <c r="DD175" s="323">
        <v>0</v>
      </c>
      <c r="DE175" s="323">
        <v>0</v>
      </c>
      <c r="DF175" s="323">
        <v>0</v>
      </c>
      <c r="DG175" s="323">
        <v>0</v>
      </c>
      <c r="DH175" s="323">
        <v>0</v>
      </c>
      <c r="DI175" s="323">
        <v>0</v>
      </c>
      <c r="DJ175" s="337">
        <v>0</v>
      </c>
      <c r="DK175" s="644">
        <v>132099.8</v>
      </c>
      <c r="DL175" s="616">
        <v>132156</v>
      </c>
      <c r="DM175" s="616">
        <v>33718</v>
      </c>
      <c r="DN175" s="616">
        <v>24578</v>
      </c>
      <c r="DO175" s="616">
        <v>12764</v>
      </c>
      <c r="DP175" s="616">
        <v>4787</v>
      </c>
      <c r="DQ175" s="616">
        <v>2175</v>
      </c>
      <c r="DR175" s="616">
        <v>1601</v>
      </c>
      <c r="DS175" s="617">
        <v>129</v>
      </c>
      <c r="DT175" s="607">
        <f t="shared" si="2"/>
        <v>211908</v>
      </c>
      <c r="DU175" s="342"/>
      <c r="EC175" s="646"/>
      <c r="EF175" s="130"/>
      <c r="EG175" s="124"/>
    </row>
    <row r="176" spans="1:137" ht="15">
      <c r="A176" s="22">
        <v>168</v>
      </c>
      <c r="B176" s="23" t="s">
        <v>469</v>
      </c>
      <c r="C176" s="24" t="s">
        <v>470</v>
      </c>
      <c r="D176" s="613"/>
      <c r="E176" s="629">
        <v>14877</v>
      </c>
      <c r="F176" s="629">
        <v>25685</v>
      </c>
      <c r="G176" s="629">
        <v>21887</v>
      </c>
      <c r="H176" s="629">
        <v>7545</v>
      </c>
      <c r="I176" s="629">
        <v>3391</v>
      </c>
      <c r="J176" s="629">
        <v>1035</v>
      </c>
      <c r="K176" s="629">
        <v>260</v>
      </c>
      <c r="L176" s="629">
        <v>27</v>
      </c>
      <c r="M176" s="627">
        <v>74707</v>
      </c>
      <c r="N176" s="322"/>
      <c r="O176" s="323">
        <v>778</v>
      </c>
      <c r="P176" s="323">
        <v>860</v>
      </c>
      <c r="Q176" s="323">
        <v>704</v>
      </c>
      <c r="R176" s="323">
        <v>134</v>
      </c>
      <c r="S176" s="323">
        <v>56</v>
      </c>
      <c r="T176" s="323">
        <v>15</v>
      </c>
      <c r="U176" s="323">
        <v>2</v>
      </c>
      <c r="V176" s="323">
        <v>1</v>
      </c>
      <c r="W176" s="323">
        <v>2550</v>
      </c>
      <c r="X176" s="329" t="s">
        <v>934</v>
      </c>
      <c r="Y176" s="330">
        <v>8</v>
      </c>
      <c r="Z176" s="330">
        <v>5</v>
      </c>
      <c r="AA176" s="330">
        <v>19</v>
      </c>
      <c r="AB176" s="330">
        <v>9</v>
      </c>
      <c r="AC176" s="330">
        <v>5</v>
      </c>
      <c r="AD176" s="330">
        <v>1</v>
      </c>
      <c r="AE176" s="330">
        <v>0</v>
      </c>
      <c r="AF176" s="330">
        <v>0</v>
      </c>
      <c r="AG176" s="328">
        <v>47</v>
      </c>
      <c r="AH176" s="329" t="s">
        <v>934</v>
      </c>
      <c r="AI176" s="184">
        <v>17</v>
      </c>
      <c r="AJ176" s="184">
        <v>79</v>
      </c>
      <c r="AK176" s="184">
        <v>104</v>
      </c>
      <c r="AL176" s="184">
        <v>56</v>
      </c>
      <c r="AM176" s="184">
        <v>23</v>
      </c>
      <c r="AN176" s="184">
        <v>8</v>
      </c>
      <c r="AO176" s="184">
        <v>5</v>
      </c>
      <c r="AP176" s="184">
        <v>5</v>
      </c>
      <c r="AQ176" s="336">
        <v>297</v>
      </c>
      <c r="AR176" s="323">
        <v>10</v>
      </c>
      <c r="AS176" s="323">
        <v>7542</v>
      </c>
      <c r="AT176" s="323">
        <v>8134</v>
      </c>
      <c r="AU176" s="323">
        <v>5637</v>
      </c>
      <c r="AV176" s="323">
        <v>1597</v>
      </c>
      <c r="AW176" s="323">
        <v>457</v>
      </c>
      <c r="AX176" s="323">
        <v>125</v>
      </c>
      <c r="AY176" s="323">
        <v>22</v>
      </c>
      <c r="AZ176" s="323">
        <v>0</v>
      </c>
      <c r="BA176" s="323">
        <v>23524</v>
      </c>
      <c r="BB176" s="331">
        <v>0</v>
      </c>
      <c r="BC176" s="330">
        <v>54</v>
      </c>
      <c r="BD176" s="330">
        <v>191</v>
      </c>
      <c r="BE176" s="330">
        <v>111</v>
      </c>
      <c r="BF176" s="330">
        <v>32</v>
      </c>
      <c r="BG176" s="330">
        <v>15</v>
      </c>
      <c r="BH176" s="330">
        <v>2</v>
      </c>
      <c r="BI176" s="330">
        <v>1</v>
      </c>
      <c r="BJ176" s="330">
        <v>0</v>
      </c>
      <c r="BK176" s="328">
        <v>406</v>
      </c>
      <c r="BL176" s="323">
        <v>0</v>
      </c>
      <c r="BM176" s="323">
        <v>7</v>
      </c>
      <c r="BN176" s="323">
        <v>7</v>
      </c>
      <c r="BO176" s="323">
        <v>9</v>
      </c>
      <c r="BP176" s="323">
        <v>13</v>
      </c>
      <c r="BQ176" s="323">
        <v>10</v>
      </c>
      <c r="BR176" s="323">
        <v>8</v>
      </c>
      <c r="BS176" s="323">
        <v>13</v>
      </c>
      <c r="BT176" s="323">
        <v>8</v>
      </c>
      <c r="BU176" s="323">
        <v>75</v>
      </c>
      <c r="BV176" s="329" t="s">
        <v>934</v>
      </c>
      <c r="BW176" s="330">
        <v>195</v>
      </c>
      <c r="BX176" s="330">
        <v>179</v>
      </c>
      <c r="BY176" s="330">
        <v>95</v>
      </c>
      <c r="BZ176" s="330">
        <v>21</v>
      </c>
      <c r="CA176" s="330">
        <v>10</v>
      </c>
      <c r="CB176" s="330">
        <v>3</v>
      </c>
      <c r="CC176" s="330">
        <v>0</v>
      </c>
      <c r="CD176" s="330">
        <v>0</v>
      </c>
      <c r="CE176" s="328">
        <v>503</v>
      </c>
      <c r="CF176" s="322" t="s">
        <v>934</v>
      </c>
      <c r="CG176" s="323">
        <v>0</v>
      </c>
      <c r="CH176" s="323">
        <v>0</v>
      </c>
      <c r="CI176" s="323">
        <v>0</v>
      </c>
      <c r="CJ176" s="323">
        <v>0</v>
      </c>
      <c r="CK176" s="323">
        <v>0</v>
      </c>
      <c r="CL176" s="323">
        <v>0</v>
      </c>
      <c r="CM176" s="323">
        <v>0</v>
      </c>
      <c r="CN176" s="323">
        <v>0</v>
      </c>
      <c r="CO176" s="323">
        <v>0</v>
      </c>
      <c r="CP176" s="329" t="s">
        <v>934</v>
      </c>
      <c r="CQ176" s="330">
        <v>319</v>
      </c>
      <c r="CR176" s="330">
        <v>209</v>
      </c>
      <c r="CS176" s="330">
        <v>224</v>
      </c>
      <c r="CT176" s="330">
        <v>63</v>
      </c>
      <c r="CU176" s="330">
        <v>15</v>
      </c>
      <c r="CV176" s="330">
        <v>14</v>
      </c>
      <c r="CW176" s="330">
        <v>5</v>
      </c>
      <c r="CX176" s="330">
        <v>0</v>
      </c>
      <c r="CY176" s="328">
        <v>849</v>
      </c>
      <c r="CZ176" s="322" t="s">
        <v>934</v>
      </c>
      <c r="DA176" s="323">
        <v>0</v>
      </c>
      <c r="DB176" s="323">
        <v>0</v>
      </c>
      <c r="DC176" s="323">
        <v>0</v>
      </c>
      <c r="DD176" s="323">
        <v>0</v>
      </c>
      <c r="DE176" s="323">
        <v>0</v>
      </c>
      <c r="DF176" s="323">
        <v>0</v>
      </c>
      <c r="DG176" s="323">
        <v>0</v>
      </c>
      <c r="DH176" s="323">
        <v>0</v>
      </c>
      <c r="DI176" s="323">
        <v>0</v>
      </c>
      <c r="DJ176" s="337">
        <v>0</v>
      </c>
      <c r="DK176" s="644">
        <v>55909.5</v>
      </c>
      <c r="DL176" s="616">
        <v>15116</v>
      </c>
      <c r="DM176" s="616">
        <v>25820</v>
      </c>
      <c r="DN176" s="616">
        <v>21975</v>
      </c>
      <c r="DO176" s="616">
        <v>7528</v>
      </c>
      <c r="DP176" s="616">
        <v>3368</v>
      </c>
      <c r="DQ176" s="616">
        <v>1038</v>
      </c>
      <c r="DR176" s="616">
        <v>257</v>
      </c>
      <c r="DS176" s="617">
        <v>27</v>
      </c>
      <c r="DT176" s="607">
        <f t="shared" si="2"/>
        <v>75129</v>
      </c>
      <c r="DU176" s="342"/>
      <c r="EC176" s="646"/>
      <c r="EF176" s="125"/>
      <c r="EG176" s="124"/>
    </row>
    <row r="177" spans="1:137" ht="15">
      <c r="A177" s="22">
        <v>169</v>
      </c>
      <c r="B177" s="23" t="s">
        <v>471</v>
      </c>
      <c r="C177" s="24" t="s">
        <v>472</v>
      </c>
      <c r="D177" s="613"/>
      <c r="E177" s="636">
        <v>8274</v>
      </c>
      <c r="F177" s="636">
        <v>11409</v>
      </c>
      <c r="G177" s="636">
        <v>13662</v>
      </c>
      <c r="H177" s="636">
        <v>10670</v>
      </c>
      <c r="I177" s="636">
        <v>9482</v>
      </c>
      <c r="J177" s="636">
        <v>7292</v>
      </c>
      <c r="K177" s="636">
        <v>7907</v>
      </c>
      <c r="L177" s="636">
        <v>1381</v>
      </c>
      <c r="M177" s="627">
        <v>70077</v>
      </c>
      <c r="N177" s="322"/>
      <c r="O177" s="323">
        <v>435</v>
      </c>
      <c r="P177" s="323">
        <v>235</v>
      </c>
      <c r="Q177" s="323">
        <v>262</v>
      </c>
      <c r="R177" s="323">
        <v>186</v>
      </c>
      <c r="S177" s="323">
        <v>116</v>
      </c>
      <c r="T177" s="323">
        <v>80</v>
      </c>
      <c r="U177" s="323">
        <v>109</v>
      </c>
      <c r="V177" s="323">
        <v>24</v>
      </c>
      <c r="W177" s="323">
        <v>1447</v>
      </c>
      <c r="X177" s="329" t="s">
        <v>934</v>
      </c>
      <c r="Y177" s="330">
        <v>0</v>
      </c>
      <c r="Z177" s="330">
        <v>0</v>
      </c>
      <c r="AA177" s="330">
        <v>0</v>
      </c>
      <c r="AB177" s="330">
        <v>0</v>
      </c>
      <c r="AC177" s="330">
        <v>0</v>
      </c>
      <c r="AD177" s="330">
        <v>0</v>
      </c>
      <c r="AE177" s="330">
        <v>0</v>
      </c>
      <c r="AF177" s="330">
        <v>0</v>
      </c>
      <c r="AG177" s="328">
        <v>0</v>
      </c>
      <c r="AH177" s="329" t="s">
        <v>934</v>
      </c>
      <c r="AI177" s="184">
        <v>12</v>
      </c>
      <c r="AJ177" s="184">
        <v>45</v>
      </c>
      <c r="AK177" s="184">
        <v>82</v>
      </c>
      <c r="AL177" s="184">
        <v>72</v>
      </c>
      <c r="AM177" s="184">
        <v>91</v>
      </c>
      <c r="AN177" s="184">
        <v>58</v>
      </c>
      <c r="AO177" s="184">
        <v>77</v>
      </c>
      <c r="AP177" s="184">
        <v>50</v>
      </c>
      <c r="AQ177" s="336">
        <v>487</v>
      </c>
      <c r="AR177" s="323">
        <v>5</v>
      </c>
      <c r="AS177" s="323">
        <v>4854</v>
      </c>
      <c r="AT177" s="323">
        <v>5108</v>
      </c>
      <c r="AU177" s="323">
        <v>4911</v>
      </c>
      <c r="AV177" s="323">
        <v>3228</v>
      </c>
      <c r="AW177" s="323">
        <v>2251</v>
      </c>
      <c r="AX177" s="323">
        <v>1272</v>
      </c>
      <c r="AY177" s="323">
        <v>1013</v>
      </c>
      <c r="AZ177" s="323">
        <v>123</v>
      </c>
      <c r="BA177" s="323">
        <v>22765</v>
      </c>
      <c r="BB177" s="331">
        <v>0</v>
      </c>
      <c r="BC177" s="330">
        <v>41</v>
      </c>
      <c r="BD177" s="330">
        <v>93</v>
      </c>
      <c r="BE177" s="330">
        <v>105</v>
      </c>
      <c r="BF177" s="330">
        <v>68</v>
      </c>
      <c r="BG177" s="330">
        <v>48</v>
      </c>
      <c r="BH177" s="330">
        <v>26</v>
      </c>
      <c r="BI177" s="330">
        <v>28</v>
      </c>
      <c r="BJ177" s="330">
        <v>2</v>
      </c>
      <c r="BK177" s="328">
        <v>411</v>
      </c>
      <c r="BL177" s="323">
        <v>0</v>
      </c>
      <c r="BM177" s="323">
        <v>4</v>
      </c>
      <c r="BN177" s="323">
        <v>8</v>
      </c>
      <c r="BO177" s="323">
        <v>10</v>
      </c>
      <c r="BP177" s="323">
        <v>12</v>
      </c>
      <c r="BQ177" s="323">
        <v>12</v>
      </c>
      <c r="BR177" s="323">
        <v>20</v>
      </c>
      <c r="BS177" s="323">
        <v>48</v>
      </c>
      <c r="BT177" s="323">
        <v>4</v>
      </c>
      <c r="BU177" s="323">
        <v>118</v>
      </c>
      <c r="BV177" s="329" t="s">
        <v>934</v>
      </c>
      <c r="BW177" s="330">
        <v>30</v>
      </c>
      <c r="BX177" s="330">
        <v>40</v>
      </c>
      <c r="BY177" s="330">
        <v>59</v>
      </c>
      <c r="BZ177" s="330">
        <v>70</v>
      </c>
      <c r="CA177" s="330">
        <v>37</v>
      </c>
      <c r="CB177" s="330">
        <v>24</v>
      </c>
      <c r="CC177" s="330">
        <v>31</v>
      </c>
      <c r="CD177" s="330">
        <v>4</v>
      </c>
      <c r="CE177" s="328">
        <v>295</v>
      </c>
      <c r="CF177" s="322" t="s">
        <v>934</v>
      </c>
      <c r="CG177" s="323">
        <v>372</v>
      </c>
      <c r="CH177" s="323">
        <v>276</v>
      </c>
      <c r="CI177" s="323">
        <v>293</v>
      </c>
      <c r="CJ177" s="323">
        <v>253</v>
      </c>
      <c r="CK177" s="323">
        <v>172</v>
      </c>
      <c r="CL177" s="323">
        <v>109</v>
      </c>
      <c r="CM177" s="323">
        <v>140</v>
      </c>
      <c r="CN177" s="323">
        <v>49</v>
      </c>
      <c r="CO177" s="323">
        <v>1664</v>
      </c>
      <c r="CP177" s="329" t="s">
        <v>934</v>
      </c>
      <c r="CQ177" s="330">
        <v>0</v>
      </c>
      <c r="CR177" s="330">
        <v>0</v>
      </c>
      <c r="CS177" s="330">
        <v>0</v>
      </c>
      <c r="CT177" s="330">
        <v>0</v>
      </c>
      <c r="CU177" s="330">
        <v>0</v>
      </c>
      <c r="CV177" s="330">
        <v>0</v>
      </c>
      <c r="CW177" s="330">
        <v>0</v>
      </c>
      <c r="CX177" s="330">
        <v>0</v>
      </c>
      <c r="CY177" s="328">
        <v>0</v>
      </c>
      <c r="CZ177" s="322" t="s">
        <v>934</v>
      </c>
      <c r="DA177" s="323">
        <v>0</v>
      </c>
      <c r="DB177" s="323">
        <v>0</v>
      </c>
      <c r="DC177" s="323">
        <v>0</v>
      </c>
      <c r="DD177" s="323">
        <v>0</v>
      </c>
      <c r="DE177" s="323">
        <v>0</v>
      </c>
      <c r="DF177" s="323">
        <v>0</v>
      </c>
      <c r="DG177" s="323">
        <v>0</v>
      </c>
      <c r="DH177" s="323">
        <v>0</v>
      </c>
      <c r="DI177" s="323">
        <v>0</v>
      </c>
      <c r="DJ177" s="337">
        <v>0</v>
      </c>
      <c r="DK177" s="644">
        <v>67288.4</v>
      </c>
      <c r="DL177" s="616">
        <v>8399</v>
      </c>
      <c r="DM177" s="616">
        <v>11456</v>
      </c>
      <c r="DN177" s="616">
        <v>13821</v>
      </c>
      <c r="DO177" s="616">
        <v>10719</v>
      </c>
      <c r="DP177" s="616">
        <v>9514</v>
      </c>
      <c r="DQ177" s="616">
        <v>7310</v>
      </c>
      <c r="DR177" s="616">
        <v>7896</v>
      </c>
      <c r="DS177" s="617">
        <v>1394</v>
      </c>
      <c r="DT177" s="607">
        <f t="shared" si="2"/>
        <v>70509</v>
      </c>
      <c r="DU177" s="342"/>
      <c r="EC177" s="646"/>
      <c r="EF177" s="130"/>
      <c r="EG177" s="124"/>
    </row>
    <row r="178" spans="1:137" ht="15">
      <c r="A178" s="22">
        <v>170</v>
      </c>
      <c r="B178" s="23" t="s">
        <v>473</v>
      </c>
      <c r="C178" s="24" t="s">
        <v>474</v>
      </c>
      <c r="D178" s="613"/>
      <c r="E178" s="626">
        <v>4246</v>
      </c>
      <c r="F178" s="626">
        <v>7947</v>
      </c>
      <c r="G178" s="626">
        <v>16609</v>
      </c>
      <c r="H178" s="626">
        <v>15937</v>
      </c>
      <c r="I178" s="626">
        <v>8457</v>
      </c>
      <c r="J178" s="626">
        <v>4915</v>
      </c>
      <c r="K178" s="626">
        <v>3488</v>
      </c>
      <c r="L178" s="626">
        <v>305</v>
      </c>
      <c r="M178" s="627">
        <v>61904</v>
      </c>
      <c r="N178" s="322"/>
      <c r="O178" s="323">
        <v>292</v>
      </c>
      <c r="P178" s="323">
        <v>255</v>
      </c>
      <c r="Q178" s="323">
        <v>528</v>
      </c>
      <c r="R178" s="323">
        <v>271</v>
      </c>
      <c r="S178" s="323">
        <v>122</v>
      </c>
      <c r="T178" s="323">
        <v>51</v>
      </c>
      <c r="U178" s="323">
        <v>33</v>
      </c>
      <c r="V178" s="323">
        <v>6</v>
      </c>
      <c r="W178" s="323">
        <v>1558</v>
      </c>
      <c r="X178" s="329" t="s">
        <v>934</v>
      </c>
      <c r="Y178" s="330">
        <v>27</v>
      </c>
      <c r="Z178" s="330">
        <v>2</v>
      </c>
      <c r="AA178" s="330">
        <v>6</v>
      </c>
      <c r="AB178" s="330">
        <v>11</v>
      </c>
      <c r="AC178" s="330">
        <v>0</v>
      </c>
      <c r="AD178" s="330">
        <v>1</v>
      </c>
      <c r="AE178" s="330">
        <v>1</v>
      </c>
      <c r="AF178" s="330">
        <v>0</v>
      </c>
      <c r="AG178" s="328">
        <v>48</v>
      </c>
      <c r="AH178" s="329" t="s">
        <v>934</v>
      </c>
      <c r="AI178" s="184">
        <v>2</v>
      </c>
      <c r="AJ178" s="184">
        <v>13</v>
      </c>
      <c r="AK178" s="184">
        <v>50</v>
      </c>
      <c r="AL178" s="184">
        <v>73</v>
      </c>
      <c r="AM178" s="184">
        <v>60</v>
      </c>
      <c r="AN178" s="184">
        <v>26</v>
      </c>
      <c r="AO178" s="184">
        <v>27</v>
      </c>
      <c r="AP178" s="184">
        <v>11</v>
      </c>
      <c r="AQ178" s="336">
        <v>262</v>
      </c>
      <c r="AR178" s="323">
        <v>2</v>
      </c>
      <c r="AS178" s="323">
        <v>2401</v>
      </c>
      <c r="AT178" s="323">
        <v>3786</v>
      </c>
      <c r="AU178" s="323">
        <v>5318</v>
      </c>
      <c r="AV178" s="323">
        <v>4019</v>
      </c>
      <c r="AW178" s="323">
        <v>1467</v>
      </c>
      <c r="AX178" s="323">
        <v>621</v>
      </c>
      <c r="AY178" s="323">
        <v>374</v>
      </c>
      <c r="AZ178" s="323">
        <v>28</v>
      </c>
      <c r="BA178" s="323">
        <v>18016</v>
      </c>
      <c r="BB178" s="331">
        <v>0</v>
      </c>
      <c r="BC178" s="330">
        <v>30</v>
      </c>
      <c r="BD178" s="330">
        <v>62</v>
      </c>
      <c r="BE178" s="330">
        <v>122</v>
      </c>
      <c r="BF178" s="330">
        <v>105</v>
      </c>
      <c r="BG178" s="330">
        <v>64</v>
      </c>
      <c r="BH178" s="330">
        <v>43</v>
      </c>
      <c r="BI178" s="330">
        <v>11</v>
      </c>
      <c r="BJ178" s="330">
        <v>1</v>
      </c>
      <c r="BK178" s="328">
        <v>438</v>
      </c>
      <c r="BL178" s="323">
        <v>0</v>
      </c>
      <c r="BM178" s="323">
        <v>3</v>
      </c>
      <c r="BN178" s="323">
        <v>4</v>
      </c>
      <c r="BO178" s="323">
        <v>10</v>
      </c>
      <c r="BP178" s="323">
        <v>19</v>
      </c>
      <c r="BQ178" s="323">
        <v>7</v>
      </c>
      <c r="BR178" s="323">
        <v>13</v>
      </c>
      <c r="BS178" s="323">
        <v>23</v>
      </c>
      <c r="BT178" s="323">
        <v>9</v>
      </c>
      <c r="BU178" s="323">
        <v>88</v>
      </c>
      <c r="BV178" s="329" t="s">
        <v>934</v>
      </c>
      <c r="BW178" s="330">
        <v>15</v>
      </c>
      <c r="BX178" s="330">
        <v>23</v>
      </c>
      <c r="BY178" s="330">
        <v>45</v>
      </c>
      <c r="BZ178" s="330">
        <v>45</v>
      </c>
      <c r="CA178" s="330">
        <v>18</v>
      </c>
      <c r="CB178" s="330">
        <v>19</v>
      </c>
      <c r="CC178" s="330">
        <v>17</v>
      </c>
      <c r="CD178" s="330">
        <v>5</v>
      </c>
      <c r="CE178" s="328">
        <v>187</v>
      </c>
      <c r="CF178" s="322" t="s">
        <v>934</v>
      </c>
      <c r="CG178" s="323">
        <v>0</v>
      </c>
      <c r="CH178" s="323">
        <v>0</v>
      </c>
      <c r="CI178" s="323">
        <v>0</v>
      </c>
      <c r="CJ178" s="323">
        <v>0</v>
      </c>
      <c r="CK178" s="323">
        <v>0</v>
      </c>
      <c r="CL178" s="323">
        <v>0</v>
      </c>
      <c r="CM178" s="323">
        <v>0</v>
      </c>
      <c r="CN178" s="323">
        <v>0</v>
      </c>
      <c r="CO178" s="323">
        <v>0</v>
      </c>
      <c r="CP178" s="329" t="s">
        <v>934</v>
      </c>
      <c r="CQ178" s="330">
        <v>123</v>
      </c>
      <c r="CR178" s="330">
        <v>92</v>
      </c>
      <c r="CS178" s="330">
        <v>105</v>
      </c>
      <c r="CT178" s="330">
        <v>96</v>
      </c>
      <c r="CU178" s="330">
        <v>48</v>
      </c>
      <c r="CV178" s="330">
        <v>22</v>
      </c>
      <c r="CW178" s="330">
        <v>22</v>
      </c>
      <c r="CX178" s="330">
        <v>7</v>
      </c>
      <c r="CY178" s="328">
        <v>515</v>
      </c>
      <c r="CZ178" s="322" t="s">
        <v>934</v>
      </c>
      <c r="DA178" s="323">
        <v>0</v>
      </c>
      <c r="DB178" s="323">
        <v>0</v>
      </c>
      <c r="DC178" s="323">
        <v>0</v>
      </c>
      <c r="DD178" s="323">
        <v>0</v>
      </c>
      <c r="DE178" s="323">
        <v>0</v>
      </c>
      <c r="DF178" s="323">
        <v>0</v>
      </c>
      <c r="DG178" s="323">
        <v>0</v>
      </c>
      <c r="DH178" s="323">
        <v>0</v>
      </c>
      <c r="DI178" s="323">
        <v>0</v>
      </c>
      <c r="DJ178" s="337">
        <v>147</v>
      </c>
      <c r="DK178" s="644">
        <v>57777.5</v>
      </c>
      <c r="DL178" s="614">
        <v>4232</v>
      </c>
      <c r="DM178" s="614">
        <v>8014</v>
      </c>
      <c r="DN178" s="614">
        <v>16770</v>
      </c>
      <c r="DO178" s="614">
        <v>16100</v>
      </c>
      <c r="DP178" s="614">
        <v>8588</v>
      </c>
      <c r="DQ178" s="614">
        <v>4948</v>
      </c>
      <c r="DR178" s="614">
        <v>3547</v>
      </c>
      <c r="DS178" s="615">
        <v>308</v>
      </c>
      <c r="DT178" s="607">
        <f t="shared" si="2"/>
        <v>62507</v>
      </c>
      <c r="DU178" s="342"/>
      <c r="EC178" s="646"/>
      <c r="EF178" s="123"/>
      <c r="EG178" s="124"/>
    </row>
    <row r="179" spans="1:137" ht="15">
      <c r="A179" s="22">
        <v>171</v>
      </c>
      <c r="B179" s="23" t="s">
        <v>475</v>
      </c>
      <c r="C179" s="24" t="s">
        <v>476</v>
      </c>
      <c r="D179" s="613"/>
      <c r="E179" s="628">
        <v>2161</v>
      </c>
      <c r="F179" s="628">
        <v>3477</v>
      </c>
      <c r="G179" s="628">
        <v>7630</v>
      </c>
      <c r="H179" s="628">
        <v>4859</v>
      </c>
      <c r="I179" s="628">
        <v>4119</v>
      </c>
      <c r="J179" s="628">
        <v>2518</v>
      </c>
      <c r="K179" s="628">
        <v>1300</v>
      </c>
      <c r="L179" s="628">
        <v>141</v>
      </c>
      <c r="M179" s="627">
        <v>26205</v>
      </c>
      <c r="N179" s="322"/>
      <c r="O179" s="323">
        <v>137</v>
      </c>
      <c r="P179" s="323">
        <v>115</v>
      </c>
      <c r="Q179" s="323">
        <v>129</v>
      </c>
      <c r="R179" s="323">
        <v>58</v>
      </c>
      <c r="S179" s="323">
        <v>67</v>
      </c>
      <c r="T179" s="323">
        <v>24</v>
      </c>
      <c r="U179" s="323">
        <v>12</v>
      </c>
      <c r="V179" s="323">
        <v>1</v>
      </c>
      <c r="W179" s="323">
        <v>543</v>
      </c>
      <c r="X179" s="329" t="s">
        <v>934</v>
      </c>
      <c r="Y179" s="330">
        <v>1</v>
      </c>
      <c r="Z179" s="330">
        <v>0</v>
      </c>
      <c r="AA179" s="330">
        <v>0</v>
      </c>
      <c r="AB179" s="330">
        <v>0</v>
      </c>
      <c r="AC179" s="330">
        <v>1</v>
      </c>
      <c r="AD179" s="330">
        <v>1</v>
      </c>
      <c r="AE179" s="330">
        <v>0</v>
      </c>
      <c r="AF179" s="330">
        <v>0</v>
      </c>
      <c r="AG179" s="328">
        <v>3</v>
      </c>
      <c r="AH179" s="329" t="s">
        <v>934</v>
      </c>
      <c r="AI179" s="184">
        <v>3</v>
      </c>
      <c r="AJ179" s="184">
        <v>13</v>
      </c>
      <c r="AK179" s="184">
        <v>42</v>
      </c>
      <c r="AL179" s="184">
        <v>25</v>
      </c>
      <c r="AM179" s="184">
        <v>34</v>
      </c>
      <c r="AN179" s="184">
        <v>15</v>
      </c>
      <c r="AO179" s="184">
        <v>13</v>
      </c>
      <c r="AP179" s="184">
        <v>10</v>
      </c>
      <c r="AQ179" s="336">
        <v>155</v>
      </c>
      <c r="AR179" s="323">
        <v>1</v>
      </c>
      <c r="AS179" s="323">
        <v>1275</v>
      </c>
      <c r="AT179" s="323">
        <v>1591</v>
      </c>
      <c r="AU179" s="323">
        <v>2412</v>
      </c>
      <c r="AV179" s="323">
        <v>1131</v>
      </c>
      <c r="AW179" s="323">
        <v>636</v>
      </c>
      <c r="AX179" s="323">
        <v>279</v>
      </c>
      <c r="AY179" s="323">
        <v>124</v>
      </c>
      <c r="AZ179" s="323">
        <v>11</v>
      </c>
      <c r="BA179" s="323">
        <v>7460</v>
      </c>
      <c r="BB179" s="331">
        <v>0</v>
      </c>
      <c r="BC179" s="330">
        <v>4</v>
      </c>
      <c r="BD179" s="330">
        <v>17</v>
      </c>
      <c r="BE179" s="330">
        <v>53</v>
      </c>
      <c r="BF179" s="330">
        <v>24</v>
      </c>
      <c r="BG179" s="330">
        <v>27</v>
      </c>
      <c r="BH179" s="330">
        <v>16</v>
      </c>
      <c r="BI179" s="330">
        <v>6</v>
      </c>
      <c r="BJ179" s="330">
        <v>0</v>
      </c>
      <c r="BK179" s="328">
        <v>147</v>
      </c>
      <c r="BL179" s="323">
        <v>0</v>
      </c>
      <c r="BM179" s="323">
        <v>1</v>
      </c>
      <c r="BN179" s="323">
        <v>4</v>
      </c>
      <c r="BO179" s="323">
        <v>6</v>
      </c>
      <c r="BP179" s="323">
        <v>3</v>
      </c>
      <c r="BQ179" s="323">
        <v>0</v>
      </c>
      <c r="BR179" s="323">
        <v>10</v>
      </c>
      <c r="BS179" s="323">
        <v>9</v>
      </c>
      <c r="BT179" s="323">
        <v>1</v>
      </c>
      <c r="BU179" s="323">
        <v>34</v>
      </c>
      <c r="BV179" s="329" t="s">
        <v>934</v>
      </c>
      <c r="BW179" s="330">
        <v>103</v>
      </c>
      <c r="BX179" s="330">
        <v>78</v>
      </c>
      <c r="BY179" s="330">
        <v>82</v>
      </c>
      <c r="BZ179" s="330">
        <v>50</v>
      </c>
      <c r="CA179" s="330">
        <v>36</v>
      </c>
      <c r="CB179" s="330">
        <v>18</v>
      </c>
      <c r="CC179" s="330">
        <v>12</v>
      </c>
      <c r="CD179" s="330">
        <v>5</v>
      </c>
      <c r="CE179" s="328">
        <v>384</v>
      </c>
      <c r="CF179" s="322" t="s">
        <v>934</v>
      </c>
      <c r="CG179" s="323">
        <v>0</v>
      </c>
      <c r="CH179" s="323">
        <v>0</v>
      </c>
      <c r="CI179" s="323">
        <v>0</v>
      </c>
      <c r="CJ179" s="323">
        <v>0</v>
      </c>
      <c r="CK179" s="323">
        <v>0</v>
      </c>
      <c r="CL179" s="323">
        <v>0</v>
      </c>
      <c r="CM179" s="323">
        <v>0</v>
      </c>
      <c r="CN179" s="323">
        <v>0</v>
      </c>
      <c r="CO179" s="323">
        <v>0</v>
      </c>
      <c r="CP179" s="329" t="s">
        <v>934</v>
      </c>
      <c r="CQ179" s="330">
        <v>63</v>
      </c>
      <c r="CR179" s="330">
        <v>61</v>
      </c>
      <c r="CS179" s="330">
        <v>94</v>
      </c>
      <c r="CT179" s="330">
        <v>42</v>
      </c>
      <c r="CU179" s="330">
        <v>22</v>
      </c>
      <c r="CV179" s="330">
        <v>11</v>
      </c>
      <c r="CW179" s="330">
        <v>17</v>
      </c>
      <c r="CX179" s="330">
        <v>1</v>
      </c>
      <c r="CY179" s="328">
        <v>311</v>
      </c>
      <c r="CZ179" s="322" t="s">
        <v>934</v>
      </c>
      <c r="DA179" s="323">
        <v>0</v>
      </c>
      <c r="DB179" s="323">
        <v>0</v>
      </c>
      <c r="DC179" s="323">
        <v>0</v>
      </c>
      <c r="DD179" s="323">
        <v>0</v>
      </c>
      <c r="DE179" s="323">
        <v>0</v>
      </c>
      <c r="DF179" s="323">
        <v>0</v>
      </c>
      <c r="DG179" s="323">
        <v>0</v>
      </c>
      <c r="DH179" s="323">
        <v>0</v>
      </c>
      <c r="DI179" s="323">
        <v>0</v>
      </c>
      <c r="DJ179" s="337">
        <v>0</v>
      </c>
      <c r="DK179" s="644">
        <v>24455.6</v>
      </c>
      <c r="DL179" s="614">
        <v>2164</v>
      </c>
      <c r="DM179" s="614">
        <v>3527</v>
      </c>
      <c r="DN179" s="614">
        <v>7639</v>
      </c>
      <c r="DO179" s="614">
        <v>4922</v>
      </c>
      <c r="DP179" s="614">
        <v>4152</v>
      </c>
      <c r="DQ179" s="614">
        <v>2546</v>
      </c>
      <c r="DR179" s="614">
        <v>1302</v>
      </c>
      <c r="DS179" s="615">
        <v>147</v>
      </c>
      <c r="DT179" s="607">
        <f t="shared" si="2"/>
        <v>26399</v>
      </c>
      <c r="DU179" s="342"/>
      <c r="EC179" s="646"/>
      <c r="EF179" s="123"/>
      <c r="EG179" s="124"/>
    </row>
    <row r="180" spans="1:137" ht="15">
      <c r="A180" s="22">
        <v>172</v>
      </c>
      <c r="B180" s="23" t="s">
        <v>477</v>
      </c>
      <c r="C180" s="24" t="s">
        <v>478</v>
      </c>
      <c r="D180" s="613"/>
      <c r="E180" s="636">
        <v>3587</v>
      </c>
      <c r="F180" s="636">
        <v>6637</v>
      </c>
      <c r="G180" s="636">
        <v>6969</v>
      </c>
      <c r="H180" s="636">
        <v>5240</v>
      </c>
      <c r="I180" s="636">
        <v>4517</v>
      </c>
      <c r="J180" s="636">
        <v>3239</v>
      </c>
      <c r="K180" s="636">
        <v>2131</v>
      </c>
      <c r="L180" s="636">
        <v>124</v>
      </c>
      <c r="M180" s="627">
        <v>32444</v>
      </c>
      <c r="N180" s="322"/>
      <c r="O180" s="323">
        <v>251</v>
      </c>
      <c r="P180" s="323">
        <v>205</v>
      </c>
      <c r="Q180" s="323">
        <v>156</v>
      </c>
      <c r="R180" s="323">
        <v>119</v>
      </c>
      <c r="S180" s="323">
        <v>83</v>
      </c>
      <c r="T180" s="323">
        <v>33</v>
      </c>
      <c r="U180" s="323">
        <v>45</v>
      </c>
      <c r="V180" s="323">
        <v>5</v>
      </c>
      <c r="W180" s="323">
        <v>897</v>
      </c>
      <c r="X180" s="329" t="s">
        <v>934</v>
      </c>
      <c r="Y180" s="330">
        <v>0</v>
      </c>
      <c r="Z180" s="330">
        <v>0</v>
      </c>
      <c r="AA180" s="330">
        <v>0</v>
      </c>
      <c r="AB180" s="330">
        <v>0</v>
      </c>
      <c r="AC180" s="330">
        <v>0</v>
      </c>
      <c r="AD180" s="330">
        <v>0</v>
      </c>
      <c r="AE180" s="330">
        <v>0</v>
      </c>
      <c r="AF180" s="330">
        <v>0</v>
      </c>
      <c r="AG180" s="328">
        <v>0</v>
      </c>
      <c r="AH180" s="329" t="s">
        <v>934</v>
      </c>
      <c r="AI180" s="184">
        <v>7</v>
      </c>
      <c r="AJ180" s="184">
        <v>39</v>
      </c>
      <c r="AK180" s="184">
        <v>37</v>
      </c>
      <c r="AL180" s="184">
        <v>50</v>
      </c>
      <c r="AM180" s="184">
        <v>49</v>
      </c>
      <c r="AN180" s="184">
        <v>32</v>
      </c>
      <c r="AO180" s="184">
        <v>39</v>
      </c>
      <c r="AP180" s="184">
        <v>9</v>
      </c>
      <c r="AQ180" s="336">
        <v>262</v>
      </c>
      <c r="AR180" s="323">
        <v>4</v>
      </c>
      <c r="AS180" s="323">
        <v>1995</v>
      </c>
      <c r="AT180" s="323">
        <v>2694</v>
      </c>
      <c r="AU180" s="323">
        <v>2213</v>
      </c>
      <c r="AV180" s="323">
        <v>1411</v>
      </c>
      <c r="AW180" s="323">
        <v>875</v>
      </c>
      <c r="AX180" s="323">
        <v>474</v>
      </c>
      <c r="AY180" s="323">
        <v>251</v>
      </c>
      <c r="AZ180" s="323">
        <v>9</v>
      </c>
      <c r="BA180" s="323">
        <v>9926</v>
      </c>
      <c r="BB180" s="331">
        <v>0</v>
      </c>
      <c r="BC180" s="330">
        <v>23</v>
      </c>
      <c r="BD180" s="330">
        <v>55</v>
      </c>
      <c r="BE180" s="330">
        <v>64</v>
      </c>
      <c r="BF180" s="330">
        <v>39</v>
      </c>
      <c r="BG180" s="330">
        <v>34</v>
      </c>
      <c r="BH180" s="330">
        <v>26</v>
      </c>
      <c r="BI180" s="330">
        <v>12</v>
      </c>
      <c r="BJ180" s="330">
        <v>0</v>
      </c>
      <c r="BK180" s="328">
        <v>253</v>
      </c>
      <c r="BL180" s="323">
        <v>0</v>
      </c>
      <c r="BM180" s="323">
        <v>1</v>
      </c>
      <c r="BN180" s="323">
        <v>5</v>
      </c>
      <c r="BO180" s="323">
        <v>1</v>
      </c>
      <c r="BP180" s="323">
        <v>5</v>
      </c>
      <c r="BQ180" s="323">
        <v>11</v>
      </c>
      <c r="BR180" s="323">
        <v>23</v>
      </c>
      <c r="BS180" s="323">
        <v>9</v>
      </c>
      <c r="BT180" s="323">
        <v>1</v>
      </c>
      <c r="BU180" s="323">
        <v>56</v>
      </c>
      <c r="BV180" s="329" t="s">
        <v>934</v>
      </c>
      <c r="BW180" s="330">
        <v>124</v>
      </c>
      <c r="BX180" s="330">
        <v>87</v>
      </c>
      <c r="BY180" s="330">
        <v>58</v>
      </c>
      <c r="BZ180" s="330">
        <v>49</v>
      </c>
      <c r="CA180" s="330">
        <v>36</v>
      </c>
      <c r="CB180" s="330">
        <v>23</v>
      </c>
      <c r="CC180" s="330">
        <v>28</v>
      </c>
      <c r="CD180" s="330">
        <v>3</v>
      </c>
      <c r="CE180" s="328">
        <v>408</v>
      </c>
      <c r="CF180" s="322" t="s">
        <v>934</v>
      </c>
      <c r="CG180" s="323">
        <v>0</v>
      </c>
      <c r="CH180" s="323">
        <v>0</v>
      </c>
      <c r="CI180" s="323">
        <v>0</v>
      </c>
      <c r="CJ180" s="323">
        <v>0</v>
      </c>
      <c r="CK180" s="323">
        <v>0</v>
      </c>
      <c r="CL180" s="323">
        <v>0</v>
      </c>
      <c r="CM180" s="323">
        <v>0</v>
      </c>
      <c r="CN180" s="323">
        <v>0</v>
      </c>
      <c r="CO180" s="323">
        <v>0</v>
      </c>
      <c r="CP180" s="329" t="s">
        <v>934</v>
      </c>
      <c r="CQ180" s="330">
        <v>75</v>
      </c>
      <c r="CR180" s="330">
        <v>72</v>
      </c>
      <c r="CS180" s="330">
        <v>56</v>
      </c>
      <c r="CT180" s="330">
        <v>50</v>
      </c>
      <c r="CU180" s="330">
        <v>28</v>
      </c>
      <c r="CV180" s="330">
        <v>23</v>
      </c>
      <c r="CW180" s="330">
        <v>14</v>
      </c>
      <c r="CX180" s="330">
        <v>1</v>
      </c>
      <c r="CY180" s="328">
        <v>319</v>
      </c>
      <c r="CZ180" s="322" t="s">
        <v>934</v>
      </c>
      <c r="DA180" s="323">
        <v>0</v>
      </c>
      <c r="DB180" s="323">
        <v>0</v>
      </c>
      <c r="DC180" s="323">
        <v>0</v>
      </c>
      <c r="DD180" s="323">
        <v>0</v>
      </c>
      <c r="DE180" s="323">
        <v>0</v>
      </c>
      <c r="DF180" s="323">
        <v>0</v>
      </c>
      <c r="DG180" s="323">
        <v>0</v>
      </c>
      <c r="DH180" s="323">
        <v>0</v>
      </c>
      <c r="DI180" s="323">
        <v>0</v>
      </c>
      <c r="DJ180" s="337">
        <v>15</v>
      </c>
      <c r="DK180" s="644">
        <v>29599.3</v>
      </c>
      <c r="DL180" s="616">
        <v>3630</v>
      </c>
      <c r="DM180" s="616">
        <v>6678</v>
      </c>
      <c r="DN180" s="616">
        <v>7051</v>
      </c>
      <c r="DO180" s="616">
        <v>5251</v>
      </c>
      <c r="DP180" s="616">
        <v>4526</v>
      </c>
      <c r="DQ180" s="616">
        <v>3259</v>
      </c>
      <c r="DR180" s="616">
        <v>2158</v>
      </c>
      <c r="DS180" s="617">
        <v>124</v>
      </c>
      <c r="DT180" s="607">
        <f t="shared" si="2"/>
        <v>32677</v>
      </c>
      <c r="DU180" s="342"/>
      <c r="EC180" s="646"/>
      <c r="EF180" s="125"/>
      <c r="EG180" s="124"/>
    </row>
    <row r="181" spans="1:137" ht="15">
      <c r="A181" s="22">
        <v>173</v>
      </c>
      <c r="B181" s="23" t="s">
        <v>479</v>
      </c>
      <c r="C181" s="24" t="s">
        <v>480</v>
      </c>
      <c r="D181" s="613"/>
      <c r="E181" s="626">
        <v>130663</v>
      </c>
      <c r="F181" s="626">
        <v>30680</v>
      </c>
      <c r="G181" s="626">
        <v>25542</v>
      </c>
      <c r="H181" s="626">
        <v>11387</v>
      </c>
      <c r="I181" s="626">
        <v>4399</v>
      </c>
      <c r="J181" s="626">
        <v>1734</v>
      </c>
      <c r="K181" s="626">
        <v>729</v>
      </c>
      <c r="L181" s="626">
        <v>100</v>
      </c>
      <c r="M181" s="627">
        <v>205234</v>
      </c>
      <c r="N181" s="322"/>
      <c r="O181" s="323">
        <v>6965</v>
      </c>
      <c r="P181" s="323">
        <v>2910</v>
      </c>
      <c r="Q181" s="323">
        <v>1665</v>
      </c>
      <c r="R181" s="323">
        <v>787</v>
      </c>
      <c r="S181" s="323">
        <v>240</v>
      </c>
      <c r="T181" s="323">
        <v>42</v>
      </c>
      <c r="U181" s="323">
        <v>19</v>
      </c>
      <c r="V181" s="323">
        <v>30</v>
      </c>
      <c r="W181" s="323">
        <v>12658</v>
      </c>
      <c r="X181" s="329" t="s">
        <v>934</v>
      </c>
      <c r="Y181" s="330">
        <v>18</v>
      </c>
      <c r="Z181" s="330">
        <v>0</v>
      </c>
      <c r="AA181" s="330">
        <v>1</v>
      </c>
      <c r="AB181" s="330">
        <v>1</v>
      </c>
      <c r="AC181" s="330">
        <v>0</v>
      </c>
      <c r="AD181" s="330">
        <v>1</v>
      </c>
      <c r="AE181" s="330">
        <v>0</v>
      </c>
      <c r="AF181" s="330">
        <v>1</v>
      </c>
      <c r="AG181" s="328">
        <v>22</v>
      </c>
      <c r="AH181" s="329" t="s">
        <v>934</v>
      </c>
      <c r="AI181" s="184">
        <v>240</v>
      </c>
      <c r="AJ181" s="184">
        <v>184</v>
      </c>
      <c r="AK181" s="184">
        <v>188</v>
      </c>
      <c r="AL181" s="184">
        <v>73</v>
      </c>
      <c r="AM181" s="184">
        <v>49</v>
      </c>
      <c r="AN181" s="184">
        <v>27</v>
      </c>
      <c r="AO181" s="184">
        <v>33</v>
      </c>
      <c r="AP181" s="184">
        <v>15</v>
      </c>
      <c r="AQ181" s="336">
        <v>809</v>
      </c>
      <c r="AR181" s="323">
        <v>61</v>
      </c>
      <c r="AS181" s="323">
        <v>65843</v>
      </c>
      <c r="AT181" s="323">
        <v>9781</v>
      </c>
      <c r="AU181" s="323">
        <v>6800</v>
      </c>
      <c r="AV181" s="323">
        <v>2475</v>
      </c>
      <c r="AW181" s="323">
        <v>869</v>
      </c>
      <c r="AX181" s="323">
        <v>332</v>
      </c>
      <c r="AY181" s="323">
        <v>99</v>
      </c>
      <c r="AZ181" s="323">
        <v>5</v>
      </c>
      <c r="BA181" s="323">
        <v>86265</v>
      </c>
      <c r="BB181" s="331">
        <v>3</v>
      </c>
      <c r="BC181" s="330">
        <v>1519</v>
      </c>
      <c r="BD181" s="330">
        <v>543</v>
      </c>
      <c r="BE181" s="330">
        <v>417</v>
      </c>
      <c r="BF181" s="330">
        <v>195</v>
      </c>
      <c r="BG181" s="330">
        <v>80</v>
      </c>
      <c r="BH181" s="330">
        <v>16</v>
      </c>
      <c r="BI181" s="330">
        <v>2</v>
      </c>
      <c r="BJ181" s="330">
        <v>0</v>
      </c>
      <c r="BK181" s="328">
        <v>2775</v>
      </c>
      <c r="BL181" s="323">
        <v>2</v>
      </c>
      <c r="BM181" s="323">
        <v>110</v>
      </c>
      <c r="BN181" s="323">
        <v>28</v>
      </c>
      <c r="BO181" s="323">
        <v>45</v>
      </c>
      <c r="BP181" s="323">
        <v>42</v>
      </c>
      <c r="BQ181" s="323">
        <v>63</v>
      </c>
      <c r="BR181" s="323">
        <v>48</v>
      </c>
      <c r="BS181" s="323">
        <v>42</v>
      </c>
      <c r="BT181" s="323">
        <v>12</v>
      </c>
      <c r="BU181" s="323">
        <v>392</v>
      </c>
      <c r="BV181" s="329" t="s">
        <v>934</v>
      </c>
      <c r="BW181" s="330">
        <v>0</v>
      </c>
      <c r="BX181" s="330">
        <v>0</v>
      </c>
      <c r="BY181" s="330">
        <v>0</v>
      </c>
      <c r="BZ181" s="330">
        <v>0</v>
      </c>
      <c r="CA181" s="330">
        <v>0</v>
      </c>
      <c r="CB181" s="330">
        <v>0</v>
      </c>
      <c r="CC181" s="330">
        <v>0</v>
      </c>
      <c r="CD181" s="330">
        <v>0</v>
      </c>
      <c r="CE181" s="328">
        <v>0</v>
      </c>
      <c r="CF181" s="322" t="s">
        <v>934</v>
      </c>
      <c r="CG181" s="323">
        <v>6393</v>
      </c>
      <c r="CH181" s="323">
        <v>1563</v>
      </c>
      <c r="CI181" s="323">
        <v>1417</v>
      </c>
      <c r="CJ181" s="323">
        <v>1048</v>
      </c>
      <c r="CK181" s="323">
        <v>453</v>
      </c>
      <c r="CL181" s="323">
        <v>133</v>
      </c>
      <c r="CM181" s="323">
        <v>48</v>
      </c>
      <c r="CN181" s="323">
        <v>7</v>
      </c>
      <c r="CO181" s="323">
        <v>11062</v>
      </c>
      <c r="CP181" s="329" t="s">
        <v>934</v>
      </c>
      <c r="CQ181" s="330">
        <v>0</v>
      </c>
      <c r="CR181" s="330">
        <v>0</v>
      </c>
      <c r="CS181" s="330">
        <v>0</v>
      </c>
      <c r="CT181" s="330">
        <v>0</v>
      </c>
      <c r="CU181" s="330">
        <v>0</v>
      </c>
      <c r="CV181" s="330">
        <v>0</v>
      </c>
      <c r="CW181" s="330">
        <v>0</v>
      </c>
      <c r="CX181" s="330">
        <v>0</v>
      </c>
      <c r="CY181" s="328">
        <v>0</v>
      </c>
      <c r="CZ181" s="322" t="s">
        <v>934</v>
      </c>
      <c r="DA181" s="323">
        <v>0</v>
      </c>
      <c r="DB181" s="323">
        <v>0</v>
      </c>
      <c r="DC181" s="323">
        <v>0</v>
      </c>
      <c r="DD181" s="323">
        <v>0</v>
      </c>
      <c r="DE181" s="323">
        <v>0</v>
      </c>
      <c r="DF181" s="323">
        <v>0</v>
      </c>
      <c r="DG181" s="323">
        <v>0</v>
      </c>
      <c r="DH181" s="323">
        <v>0</v>
      </c>
      <c r="DI181" s="323">
        <v>0</v>
      </c>
      <c r="DJ181" s="337">
        <v>0</v>
      </c>
      <c r="DK181" s="644">
        <v>124119.4</v>
      </c>
      <c r="DL181" s="614">
        <v>131178</v>
      </c>
      <c r="DM181" s="614">
        <v>31874</v>
      </c>
      <c r="DN181" s="614">
        <v>27205</v>
      </c>
      <c r="DO181" s="614">
        <v>12709</v>
      </c>
      <c r="DP181" s="614">
        <v>5012</v>
      </c>
      <c r="DQ181" s="614">
        <v>1866</v>
      </c>
      <c r="DR181" s="614">
        <v>735</v>
      </c>
      <c r="DS181" s="615">
        <v>103</v>
      </c>
      <c r="DT181" s="607">
        <f t="shared" si="2"/>
        <v>210682</v>
      </c>
      <c r="DU181" s="342"/>
      <c r="EC181" s="646"/>
      <c r="EF181" s="123"/>
      <c r="EG181" s="124"/>
    </row>
    <row r="182" spans="1:137" ht="15">
      <c r="A182" s="22">
        <v>174</v>
      </c>
      <c r="B182" s="23" t="s">
        <v>481</v>
      </c>
      <c r="C182" s="24" t="s">
        <v>482</v>
      </c>
      <c r="D182" s="613"/>
      <c r="E182" s="630">
        <v>26053</v>
      </c>
      <c r="F182" s="630">
        <v>8882</v>
      </c>
      <c r="G182" s="630">
        <v>5867</v>
      </c>
      <c r="H182" s="630">
        <v>3377</v>
      </c>
      <c r="I182" s="630">
        <v>1404</v>
      </c>
      <c r="J182" s="630">
        <v>333</v>
      </c>
      <c r="K182" s="630">
        <v>147</v>
      </c>
      <c r="L182" s="630">
        <v>15</v>
      </c>
      <c r="M182" s="627">
        <v>46078</v>
      </c>
      <c r="N182" s="322"/>
      <c r="O182" s="323">
        <v>968</v>
      </c>
      <c r="P182" s="323">
        <v>184</v>
      </c>
      <c r="Q182" s="323">
        <v>129</v>
      </c>
      <c r="R182" s="323">
        <v>46</v>
      </c>
      <c r="S182" s="323">
        <v>23</v>
      </c>
      <c r="T182" s="323">
        <v>4</v>
      </c>
      <c r="U182" s="323">
        <v>7</v>
      </c>
      <c r="V182" s="323">
        <v>0</v>
      </c>
      <c r="W182" s="323">
        <v>1361</v>
      </c>
      <c r="X182" s="329" t="s">
        <v>934</v>
      </c>
      <c r="Y182" s="330">
        <v>0</v>
      </c>
      <c r="Z182" s="330">
        <v>0</v>
      </c>
      <c r="AA182" s="330">
        <v>0</v>
      </c>
      <c r="AB182" s="330">
        <v>0</v>
      </c>
      <c r="AC182" s="330">
        <v>0</v>
      </c>
      <c r="AD182" s="330">
        <v>0</v>
      </c>
      <c r="AE182" s="330">
        <v>0</v>
      </c>
      <c r="AF182" s="330">
        <v>0</v>
      </c>
      <c r="AG182" s="328">
        <v>0</v>
      </c>
      <c r="AH182" s="329" t="s">
        <v>934</v>
      </c>
      <c r="AI182" s="184">
        <v>83</v>
      </c>
      <c r="AJ182" s="184">
        <v>67</v>
      </c>
      <c r="AK182" s="184">
        <v>54</v>
      </c>
      <c r="AL182" s="184">
        <v>25</v>
      </c>
      <c r="AM182" s="184">
        <v>12</v>
      </c>
      <c r="AN182" s="184">
        <v>5</v>
      </c>
      <c r="AO182" s="184">
        <v>7</v>
      </c>
      <c r="AP182" s="184">
        <v>7</v>
      </c>
      <c r="AQ182" s="336">
        <v>260</v>
      </c>
      <c r="AR182" s="323">
        <v>13</v>
      </c>
      <c r="AS182" s="323">
        <v>11072</v>
      </c>
      <c r="AT182" s="323">
        <v>2392</v>
      </c>
      <c r="AU182" s="323">
        <v>1269</v>
      </c>
      <c r="AV182" s="323">
        <v>562</v>
      </c>
      <c r="AW182" s="323">
        <v>208</v>
      </c>
      <c r="AX182" s="323">
        <v>46</v>
      </c>
      <c r="AY182" s="323">
        <v>14</v>
      </c>
      <c r="AZ182" s="323">
        <v>0</v>
      </c>
      <c r="BA182" s="323">
        <v>15576</v>
      </c>
      <c r="BB182" s="331">
        <v>1</v>
      </c>
      <c r="BC182" s="330">
        <v>168</v>
      </c>
      <c r="BD182" s="330">
        <v>71</v>
      </c>
      <c r="BE182" s="330">
        <v>27</v>
      </c>
      <c r="BF182" s="330">
        <v>17</v>
      </c>
      <c r="BG182" s="330">
        <v>7</v>
      </c>
      <c r="BH182" s="330">
        <v>0</v>
      </c>
      <c r="BI182" s="330">
        <v>1</v>
      </c>
      <c r="BJ182" s="330">
        <v>0</v>
      </c>
      <c r="BK182" s="328">
        <v>292</v>
      </c>
      <c r="BL182" s="323">
        <v>2</v>
      </c>
      <c r="BM182" s="323">
        <v>13</v>
      </c>
      <c r="BN182" s="323">
        <v>4</v>
      </c>
      <c r="BO182" s="323">
        <v>4</v>
      </c>
      <c r="BP182" s="323">
        <v>16</v>
      </c>
      <c r="BQ182" s="323">
        <v>7</v>
      </c>
      <c r="BR182" s="323">
        <v>6</v>
      </c>
      <c r="BS182" s="323">
        <v>15</v>
      </c>
      <c r="BT182" s="323">
        <v>4</v>
      </c>
      <c r="BU182" s="323">
        <v>71</v>
      </c>
      <c r="BV182" s="329" t="s">
        <v>934</v>
      </c>
      <c r="BW182" s="330">
        <v>34</v>
      </c>
      <c r="BX182" s="330">
        <v>18</v>
      </c>
      <c r="BY182" s="330">
        <v>11</v>
      </c>
      <c r="BZ182" s="330">
        <v>6</v>
      </c>
      <c r="CA182" s="330">
        <v>3</v>
      </c>
      <c r="CB182" s="330">
        <v>2</v>
      </c>
      <c r="CC182" s="330">
        <v>1</v>
      </c>
      <c r="CD182" s="330">
        <v>0</v>
      </c>
      <c r="CE182" s="328">
        <v>75</v>
      </c>
      <c r="CF182" s="322" t="s">
        <v>934</v>
      </c>
      <c r="CG182" s="323">
        <v>617</v>
      </c>
      <c r="CH182" s="323">
        <v>108</v>
      </c>
      <c r="CI182" s="323">
        <v>67</v>
      </c>
      <c r="CJ182" s="323">
        <v>30</v>
      </c>
      <c r="CK182" s="323">
        <v>15</v>
      </c>
      <c r="CL182" s="323">
        <v>4</v>
      </c>
      <c r="CM182" s="323">
        <v>1</v>
      </c>
      <c r="CN182" s="323">
        <v>0</v>
      </c>
      <c r="CO182" s="323">
        <v>842</v>
      </c>
      <c r="CP182" s="329" t="s">
        <v>934</v>
      </c>
      <c r="CQ182" s="330">
        <v>0</v>
      </c>
      <c r="CR182" s="330">
        <v>0</v>
      </c>
      <c r="CS182" s="330">
        <v>0</v>
      </c>
      <c r="CT182" s="330">
        <v>0</v>
      </c>
      <c r="CU182" s="330">
        <v>0</v>
      </c>
      <c r="CV182" s="330">
        <v>0</v>
      </c>
      <c r="CW182" s="330">
        <v>0</v>
      </c>
      <c r="CX182" s="330">
        <v>0</v>
      </c>
      <c r="CY182" s="328">
        <v>0</v>
      </c>
      <c r="CZ182" s="322" t="s">
        <v>934</v>
      </c>
      <c r="DA182" s="323">
        <v>0</v>
      </c>
      <c r="DB182" s="323">
        <v>0</v>
      </c>
      <c r="DC182" s="323">
        <v>0</v>
      </c>
      <c r="DD182" s="323">
        <v>0</v>
      </c>
      <c r="DE182" s="323">
        <v>0</v>
      </c>
      <c r="DF182" s="323">
        <v>0</v>
      </c>
      <c r="DG182" s="323">
        <v>0</v>
      </c>
      <c r="DH182" s="323">
        <v>0</v>
      </c>
      <c r="DI182" s="323">
        <v>0</v>
      </c>
      <c r="DJ182" s="337">
        <v>0</v>
      </c>
      <c r="DK182" s="644">
        <v>31060.7</v>
      </c>
      <c r="DL182" s="614">
        <v>26188</v>
      </c>
      <c r="DM182" s="614">
        <v>9014</v>
      </c>
      <c r="DN182" s="614">
        <v>6027</v>
      </c>
      <c r="DO182" s="614">
        <v>3412</v>
      </c>
      <c r="DP182" s="614">
        <v>1400</v>
      </c>
      <c r="DQ182" s="614">
        <v>347</v>
      </c>
      <c r="DR182" s="614">
        <v>153</v>
      </c>
      <c r="DS182" s="615">
        <v>15</v>
      </c>
      <c r="DT182" s="607">
        <f t="shared" si="2"/>
        <v>46556</v>
      </c>
      <c r="DU182" s="342"/>
      <c r="EC182" s="646"/>
      <c r="EF182" s="127"/>
      <c r="EG182" s="124"/>
    </row>
    <row r="183" spans="1:137" ht="15">
      <c r="A183" s="22">
        <v>175</v>
      </c>
      <c r="B183" s="23" t="s">
        <v>935</v>
      </c>
      <c r="C183" s="24" t="s">
        <v>483</v>
      </c>
      <c r="D183" s="613"/>
      <c r="E183" s="626">
        <v>10481</v>
      </c>
      <c r="F183" s="626">
        <v>36567</v>
      </c>
      <c r="G183" s="626">
        <v>31881</v>
      </c>
      <c r="H183" s="626">
        <v>15580</v>
      </c>
      <c r="I183" s="626">
        <v>7680</v>
      </c>
      <c r="J183" s="626">
        <v>3173</v>
      </c>
      <c r="K183" s="626">
        <v>1180</v>
      </c>
      <c r="L183" s="626">
        <v>66</v>
      </c>
      <c r="M183" s="627">
        <v>106608</v>
      </c>
      <c r="N183" s="322"/>
      <c r="O183" s="323">
        <v>661</v>
      </c>
      <c r="P183" s="323">
        <v>1355</v>
      </c>
      <c r="Q183" s="323">
        <v>794</v>
      </c>
      <c r="R183" s="323">
        <v>277</v>
      </c>
      <c r="S183" s="323">
        <v>116</v>
      </c>
      <c r="T183" s="323">
        <v>40</v>
      </c>
      <c r="U183" s="323">
        <v>10</v>
      </c>
      <c r="V183" s="323">
        <v>4</v>
      </c>
      <c r="W183" s="323">
        <v>3257</v>
      </c>
      <c r="X183" s="329" t="s">
        <v>934</v>
      </c>
      <c r="Y183" s="330">
        <v>6</v>
      </c>
      <c r="Z183" s="330">
        <v>0</v>
      </c>
      <c r="AA183" s="330">
        <v>1</v>
      </c>
      <c r="AB183" s="330">
        <v>0</v>
      </c>
      <c r="AC183" s="330">
        <v>0</v>
      </c>
      <c r="AD183" s="330">
        <v>0</v>
      </c>
      <c r="AE183" s="330">
        <v>0</v>
      </c>
      <c r="AF183" s="330">
        <v>0</v>
      </c>
      <c r="AG183" s="328">
        <v>7</v>
      </c>
      <c r="AH183" s="329" t="s">
        <v>934</v>
      </c>
      <c r="AI183" s="184">
        <v>12</v>
      </c>
      <c r="AJ183" s="184">
        <v>159</v>
      </c>
      <c r="AK183" s="184">
        <v>181</v>
      </c>
      <c r="AL183" s="184">
        <v>119</v>
      </c>
      <c r="AM183" s="184">
        <v>63</v>
      </c>
      <c r="AN183" s="184">
        <v>29</v>
      </c>
      <c r="AO183" s="184">
        <v>18</v>
      </c>
      <c r="AP183" s="184">
        <v>18</v>
      </c>
      <c r="AQ183" s="336">
        <v>599</v>
      </c>
      <c r="AR183" s="323">
        <v>2</v>
      </c>
      <c r="AS183" s="323">
        <v>5481</v>
      </c>
      <c r="AT183" s="323">
        <v>12821</v>
      </c>
      <c r="AU183" s="323">
        <v>8039</v>
      </c>
      <c r="AV183" s="323">
        <v>3204</v>
      </c>
      <c r="AW183" s="323">
        <v>1119</v>
      </c>
      <c r="AX183" s="323">
        <v>332</v>
      </c>
      <c r="AY183" s="323">
        <v>92</v>
      </c>
      <c r="AZ183" s="323">
        <v>1</v>
      </c>
      <c r="BA183" s="323">
        <v>31091</v>
      </c>
      <c r="BB183" s="331">
        <v>0</v>
      </c>
      <c r="BC183" s="330">
        <v>41</v>
      </c>
      <c r="BD183" s="330">
        <v>225</v>
      </c>
      <c r="BE183" s="330">
        <v>218</v>
      </c>
      <c r="BF183" s="330">
        <v>95</v>
      </c>
      <c r="BG183" s="330">
        <v>48</v>
      </c>
      <c r="BH183" s="330">
        <v>18</v>
      </c>
      <c r="BI183" s="330">
        <v>2</v>
      </c>
      <c r="BJ183" s="330">
        <v>0</v>
      </c>
      <c r="BK183" s="328">
        <v>647</v>
      </c>
      <c r="BL183" s="323">
        <v>0</v>
      </c>
      <c r="BM183" s="323">
        <v>12</v>
      </c>
      <c r="BN183" s="323">
        <v>35</v>
      </c>
      <c r="BO183" s="323">
        <v>26</v>
      </c>
      <c r="BP183" s="323">
        <v>25</v>
      </c>
      <c r="BQ183" s="323">
        <v>11</v>
      </c>
      <c r="BR183" s="323">
        <v>14</v>
      </c>
      <c r="BS183" s="323">
        <v>34</v>
      </c>
      <c r="BT183" s="323">
        <v>4</v>
      </c>
      <c r="BU183" s="323">
        <v>161</v>
      </c>
      <c r="BV183" s="329" t="s">
        <v>934</v>
      </c>
      <c r="BW183" s="330">
        <v>262</v>
      </c>
      <c r="BX183" s="330">
        <v>111</v>
      </c>
      <c r="BY183" s="330">
        <v>68</v>
      </c>
      <c r="BZ183" s="330">
        <v>46</v>
      </c>
      <c r="CA183" s="330">
        <v>17</v>
      </c>
      <c r="CB183" s="330">
        <v>9</v>
      </c>
      <c r="CC183" s="330">
        <v>7</v>
      </c>
      <c r="CD183" s="330">
        <v>0</v>
      </c>
      <c r="CE183" s="328">
        <v>520</v>
      </c>
      <c r="CF183" s="322" t="s">
        <v>934</v>
      </c>
      <c r="CG183" s="323">
        <v>0</v>
      </c>
      <c r="CH183" s="323">
        <v>0</v>
      </c>
      <c r="CI183" s="323">
        <v>0</v>
      </c>
      <c r="CJ183" s="323">
        <v>0</v>
      </c>
      <c r="CK183" s="323">
        <v>0</v>
      </c>
      <c r="CL183" s="323">
        <v>0</v>
      </c>
      <c r="CM183" s="323">
        <v>0</v>
      </c>
      <c r="CN183" s="323">
        <v>0</v>
      </c>
      <c r="CO183" s="323">
        <v>0</v>
      </c>
      <c r="CP183" s="329" t="s">
        <v>934</v>
      </c>
      <c r="CQ183" s="330">
        <v>329</v>
      </c>
      <c r="CR183" s="330">
        <v>562</v>
      </c>
      <c r="CS183" s="330">
        <v>264</v>
      </c>
      <c r="CT183" s="330">
        <v>113</v>
      </c>
      <c r="CU183" s="330">
        <v>59</v>
      </c>
      <c r="CV183" s="330">
        <v>16</v>
      </c>
      <c r="CW183" s="330">
        <v>13</v>
      </c>
      <c r="CX183" s="330">
        <v>3</v>
      </c>
      <c r="CY183" s="328">
        <v>1359</v>
      </c>
      <c r="CZ183" s="322" t="s">
        <v>934</v>
      </c>
      <c r="DA183" s="323">
        <v>0</v>
      </c>
      <c r="DB183" s="323">
        <v>0</v>
      </c>
      <c r="DC183" s="323">
        <v>0</v>
      </c>
      <c r="DD183" s="323">
        <v>0</v>
      </c>
      <c r="DE183" s="323">
        <v>0</v>
      </c>
      <c r="DF183" s="323">
        <v>0</v>
      </c>
      <c r="DG183" s="323">
        <v>0</v>
      </c>
      <c r="DH183" s="323">
        <v>0</v>
      </c>
      <c r="DI183" s="323">
        <v>0</v>
      </c>
      <c r="DJ183" s="337">
        <v>362</v>
      </c>
      <c r="DK183" s="644">
        <v>86051.5</v>
      </c>
      <c r="DL183" s="614">
        <v>10615</v>
      </c>
      <c r="DM183" s="614">
        <v>36761</v>
      </c>
      <c r="DN183" s="614">
        <v>31904</v>
      </c>
      <c r="DO183" s="614">
        <v>15711</v>
      </c>
      <c r="DP183" s="614">
        <v>7717</v>
      </c>
      <c r="DQ183" s="614">
        <v>3209</v>
      </c>
      <c r="DR183" s="614">
        <v>1189</v>
      </c>
      <c r="DS183" s="615">
        <v>66</v>
      </c>
      <c r="DT183" s="607">
        <f t="shared" si="2"/>
        <v>107172</v>
      </c>
      <c r="DU183" s="342"/>
      <c r="EC183" s="646"/>
      <c r="EF183" s="123"/>
      <c r="EG183" s="124"/>
    </row>
    <row r="184" spans="1:137" ht="15">
      <c r="A184" s="22">
        <v>176</v>
      </c>
      <c r="B184" s="23" t="s">
        <v>484</v>
      </c>
      <c r="C184" s="24" t="s">
        <v>485</v>
      </c>
      <c r="D184" s="613"/>
      <c r="E184" s="630">
        <v>3356</v>
      </c>
      <c r="F184" s="630">
        <v>6313</v>
      </c>
      <c r="G184" s="630">
        <v>3676</v>
      </c>
      <c r="H184" s="630">
        <v>3248</v>
      </c>
      <c r="I184" s="630">
        <v>2223</v>
      </c>
      <c r="J184" s="630">
        <v>1266</v>
      </c>
      <c r="K184" s="630">
        <v>867</v>
      </c>
      <c r="L184" s="630">
        <v>87</v>
      </c>
      <c r="M184" s="627">
        <v>21036</v>
      </c>
      <c r="N184" s="322"/>
      <c r="O184" s="323">
        <v>128</v>
      </c>
      <c r="P184" s="323">
        <v>137</v>
      </c>
      <c r="Q184" s="323">
        <v>86</v>
      </c>
      <c r="R184" s="323">
        <v>63</v>
      </c>
      <c r="S184" s="323">
        <v>46</v>
      </c>
      <c r="T184" s="323">
        <v>20</v>
      </c>
      <c r="U184" s="323">
        <v>23</v>
      </c>
      <c r="V184" s="323">
        <v>6</v>
      </c>
      <c r="W184" s="323">
        <v>509</v>
      </c>
      <c r="X184" s="329" t="s">
        <v>934</v>
      </c>
      <c r="Y184" s="330">
        <v>0</v>
      </c>
      <c r="Z184" s="330">
        <v>0</v>
      </c>
      <c r="AA184" s="330">
        <v>0</v>
      </c>
      <c r="AB184" s="330">
        <v>0</v>
      </c>
      <c r="AC184" s="330">
        <v>0</v>
      </c>
      <c r="AD184" s="330">
        <v>0</v>
      </c>
      <c r="AE184" s="330">
        <v>0</v>
      </c>
      <c r="AF184" s="330">
        <v>0</v>
      </c>
      <c r="AG184" s="328">
        <v>0</v>
      </c>
      <c r="AH184" s="329" t="s">
        <v>934</v>
      </c>
      <c r="AI184" s="184">
        <v>9</v>
      </c>
      <c r="AJ184" s="184">
        <v>34</v>
      </c>
      <c r="AK184" s="184">
        <v>37</v>
      </c>
      <c r="AL184" s="184">
        <v>24</v>
      </c>
      <c r="AM184" s="184">
        <v>20</v>
      </c>
      <c r="AN184" s="184">
        <v>8</v>
      </c>
      <c r="AO184" s="184">
        <v>10</v>
      </c>
      <c r="AP184" s="184">
        <v>3</v>
      </c>
      <c r="AQ184" s="336">
        <v>145</v>
      </c>
      <c r="AR184" s="323">
        <v>5</v>
      </c>
      <c r="AS184" s="323">
        <v>1714</v>
      </c>
      <c r="AT184" s="323">
        <v>2098</v>
      </c>
      <c r="AU184" s="323">
        <v>1030</v>
      </c>
      <c r="AV184" s="323">
        <v>652</v>
      </c>
      <c r="AW184" s="323">
        <v>348</v>
      </c>
      <c r="AX184" s="323">
        <v>148</v>
      </c>
      <c r="AY184" s="323">
        <v>104</v>
      </c>
      <c r="AZ184" s="323">
        <v>14</v>
      </c>
      <c r="BA184" s="323">
        <v>6113</v>
      </c>
      <c r="BB184" s="331">
        <v>0</v>
      </c>
      <c r="BC184" s="330">
        <v>25</v>
      </c>
      <c r="BD184" s="330">
        <v>49</v>
      </c>
      <c r="BE184" s="330">
        <v>28</v>
      </c>
      <c r="BF184" s="330">
        <v>21</v>
      </c>
      <c r="BG184" s="330">
        <v>11</v>
      </c>
      <c r="BH184" s="330">
        <v>11</v>
      </c>
      <c r="BI184" s="330">
        <v>2</v>
      </c>
      <c r="BJ184" s="330">
        <v>1</v>
      </c>
      <c r="BK184" s="328">
        <v>148</v>
      </c>
      <c r="BL184" s="323">
        <v>0</v>
      </c>
      <c r="BM184" s="323">
        <v>1</v>
      </c>
      <c r="BN184" s="323">
        <v>1</v>
      </c>
      <c r="BO184" s="323">
        <v>1</v>
      </c>
      <c r="BP184" s="323">
        <v>1</v>
      </c>
      <c r="BQ184" s="323">
        <v>3</v>
      </c>
      <c r="BR184" s="323">
        <v>6</v>
      </c>
      <c r="BS184" s="323">
        <v>4</v>
      </c>
      <c r="BT184" s="323">
        <v>0</v>
      </c>
      <c r="BU184" s="323">
        <v>17</v>
      </c>
      <c r="BV184" s="329" t="s">
        <v>934</v>
      </c>
      <c r="BW184" s="330">
        <v>8</v>
      </c>
      <c r="BX184" s="330">
        <v>13</v>
      </c>
      <c r="BY184" s="330">
        <v>11</v>
      </c>
      <c r="BZ184" s="330">
        <v>18</v>
      </c>
      <c r="CA184" s="330">
        <v>10</v>
      </c>
      <c r="CB184" s="330">
        <v>11</v>
      </c>
      <c r="CC184" s="330">
        <v>8</v>
      </c>
      <c r="CD184" s="330">
        <v>1</v>
      </c>
      <c r="CE184" s="328">
        <v>80</v>
      </c>
      <c r="CF184" s="322" t="s">
        <v>934</v>
      </c>
      <c r="CG184" s="323">
        <v>0</v>
      </c>
      <c r="CH184" s="323">
        <v>0</v>
      </c>
      <c r="CI184" s="323">
        <v>0</v>
      </c>
      <c r="CJ184" s="323">
        <v>0</v>
      </c>
      <c r="CK184" s="323">
        <v>0</v>
      </c>
      <c r="CL184" s="323">
        <v>0</v>
      </c>
      <c r="CM184" s="323">
        <v>0</v>
      </c>
      <c r="CN184" s="323">
        <v>0</v>
      </c>
      <c r="CO184" s="323">
        <v>0</v>
      </c>
      <c r="CP184" s="329" t="s">
        <v>934</v>
      </c>
      <c r="CQ184" s="330">
        <v>48</v>
      </c>
      <c r="CR184" s="330">
        <v>39</v>
      </c>
      <c r="CS184" s="330">
        <v>33</v>
      </c>
      <c r="CT184" s="330">
        <v>15</v>
      </c>
      <c r="CU184" s="330">
        <v>8</v>
      </c>
      <c r="CV184" s="330">
        <v>6</v>
      </c>
      <c r="CW184" s="330">
        <v>12</v>
      </c>
      <c r="CX184" s="330">
        <v>1</v>
      </c>
      <c r="CY184" s="328">
        <v>162</v>
      </c>
      <c r="CZ184" s="322" t="s">
        <v>934</v>
      </c>
      <c r="DA184" s="323">
        <v>0</v>
      </c>
      <c r="DB184" s="323">
        <v>0</v>
      </c>
      <c r="DC184" s="323">
        <v>0</v>
      </c>
      <c r="DD184" s="323">
        <v>0</v>
      </c>
      <c r="DE184" s="323">
        <v>0</v>
      </c>
      <c r="DF184" s="323">
        <v>0</v>
      </c>
      <c r="DG184" s="323">
        <v>0</v>
      </c>
      <c r="DH184" s="323">
        <v>0</v>
      </c>
      <c r="DI184" s="323">
        <v>0</v>
      </c>
      <c r="DJ184" s="337">
        <v>37.1</v>
      </c>
      <c r="DK184" s="644">
        <v>18000</v>
      </c>
      <c r="DL184" s="614">
        <v>3381</v>
      </c>
      <c r="DM184" s="614">
        <v>6392</v>
      </c>
      <c r="DN184" s="614">
        <v>3704</v>
      </c>
      <c r="DO184" s="614">
        <v>3265</v>
      </c>
      <c r="DP184" s="614">
        <v>2215</v>
      </c>
      <c r="DQ184" s="614">
        <v>1280</v>
      </c>
      <c r="DR184" s="614">
        <v>886</v>
      </c>
      <c r="DS184" s="615">
        <v>89</v>
      </c>
      <c r="DT184" s="607">
        <f t="shared" si="2"/>
        <v>21212</v>
      </c>
      <c r="DU184" s="342"/>
      <c r="EC184" s="646"/>
      <c r="EF184" s="127"/>
      <c r="EG184" s="124"/>
    </row>
    <row r="185" spans="1:137" ht="15">
      <c r="A185" s="22">
        <v>177</v>
      </c>
      <c r="B185" s="23" t="s">
        <v>486</v>
      </c>
      <c r="C185" s="24" t="s">
        <v>487</v>
      </c>
      <c r="D185" s="613"/>
      <c r="E185" s="628">
        <v>6457</v>
      </c>
      <c r="F185" s="628">
        <v>12094</v>
      </c>
      <c r="G185" s="628">
        <v>11441</v>
      </c>
      <c r="H185" s="628">
        <v>6723</v>
      </c>
      <c r="I185" s="628">
        <v>5238</v>
      </c>
      <c r="J185" s="628">
        <v>2835</v>
      </c>
      <c r="K185" s="628">
        <v>1545</v>
      </c>
      <c r="L185" s="628">
        <v>115</v>
      </c>
      <c r="M185" s="627">
        <v>46448</v>
      </c>
      <c r="N185" s="322"/>
      <c r="O185" s="323">
        <v>332</v>
      </c>
      <c r="P185" s="323">
        <v>334</v>
      </c>
      <c r="Q185" s="323">
        <v>259</v>
      </c>
      <c r="R185" s="323">
        <v>119</v>
      </c>
      <c r="S185" s="323">
        <v>66</v>
      </c>
      <c r="T185" s="323">
        <v>38</v>
      </c>
      <c r="U185" s="323">
        <v>29</v>
      </c>
      <c r="V185" s="323">
        <v>7</v>
      </c>
      <c r="W185" s="323">
        <v>1184</v>
      </c>
      <c r="X185" s="329" t="s">
        <v>934</v>
      </c>
      <c r="Y185" s="330">
        <v>3</v>
      </c>
      <c r="Z185" s="330">
        <v>0</v>
      </c>
      <c r="AA185" s="330">
        <v>0</v>
      </c>
      <c r="AB185" s="330">
        <v>0</v>
      </c>
      <c r="AC185" s="330">
        <v>1</v>
      </c>
      <c r="AD185" s="330">
        <v>1</v>
      </c>
      <c r="AE185" s="330">
        <v>0</v>
      </c>
      <c r="AF185" s="330">
        <v>0</v>
      </c>
      <c r="AG185" s="328">
        <v>5</v>
      </c>
      <c r="AH185" s="329" t="s">
        <v>934</v>
      </c>
      <c r="AI185" s="184">
        <v>9</v>
      </c>
      <c r="AJ185" s="184">
        <v>47</v>
      </c>
      <c r="AK185" s="184">
        <v>58</v>
      </c>
      <c r="AL185" s="184">
        <v>51</v>
      </c>
      <c r="AM185" s="184">
        <v>39</v>
      </c>
      <c r="AN185" s="184">
        <v>25</v>
      </c>
      <c r="AO185" s="184">
        <v>17</v>
      </c>
      <c r="AP185" s="184">
        <v>13</v>
      </c>
      <c r="AQ185" s="336">
        <v>259</v>
      </c>
      <c r="AR185" s="323">
        <v>7</v>
      </c>
      <c r="AS185" s="323">
        <v>3771</v>
      </c>
      <c r="AT185" s="323">
        <v>4553</v>
      </c>
      <c r="AU185" s="323">
        <v>3363</v>
      </c>
      <c r="AV185" s="323">
        <v>1602</v>
      </c>
      <c r="AW185" s="323">
        <v>1014</v>
      </c>
      <c r="AX185" s="323">
        <v>429</v>
      </c>
      <c r="AY185" s="323">
        <v>172</v>
      </c>
      <c r="AZ185" s="323">
        <v>12</v>
      </c>
      <c r="BA185" s="323">
        <v>14923</v>
      </c>
      <c r="BB185" s="331">
        <v>0</v>
      </c>
      <c r="BC185" s="330">
        <v>29</v>
      </c>
      <c r="BD185" s="330">
        <v>65</v>
      </c>
      <c r="BE185" s="330">
        <v>51</v>
      </c>
      <c r="BF185" s="330">
        <v>49</v>
      </c>
      <c r="BG185" s="330">
        <v>29</v>
      </c>
      <c r="BH185" s="330">
        <v>13</v>
      </c>
      <c r="BI185" s="330">
        <v>9</v>
      </c>
      <c r="BJ185" s="330">
        <v>0</v>
      </c>
      <c r="BK185" s="328">
        <v>245</v>
      </c>
      <c r="BL185" s="323">
        <v>0</v>
      </c>
      <c r="BM185" s="323">
        <v>0</v>
      </c>
      <c r="BN185" s="323">
        <v>8</v>
      </c>
      <c r="BO185" s="323">
        <v>3</v>
      </c>
      <c r="BP185" s="323">
        <v>7</v>
      </c>
      <c r="BQ185" s="323">
        <v>9</v>
      </c>
      <c r="BR185" s="323">
        <v>15</v>
      </c>
      <c r="BS185" s="323">
        <v>16</v>
      </c>
      <c r="BT185" s="323">
        <v>4</v>
      </c>
      <c r="BU185" s="323">
        <v>62</v>
      </c>
      <c r="BV185" s="329" t="s">
        <v>934</v>
      </c>
      <c r="BW185" s="330">
        <v>81</v>
      </c>
      <c r="BX185" s="330">
        <v>92</v>
      </c>
      <c r="BY185" s="330">
        <v>78</v>
      </c>
      <c r="BZ185" s="330">
        <v>53</v>
      </c>
      <c r="CA185" s="330">
        <v>62</v>
      </c>
      <c r="CB185" s="330">
        <v>26</v>
      </c>
      <c r="CC185" s="330">
        <v>30</v>
      </c>
      <c r="CD185" s="330">
        <v>9</v>
      </c>
      <c r="CE185" s="328">
        <v>431</v>
      </c>
      <c r="CF185" s="322" t="s">
        <v>934</v>
      </c>
      <c r="CG185" s="323">
        <v>119</v>
      </c>
      <c r="CH185" s="323">
        <v>120</v>
      </c>
      <c r="CI185" s="323">
        <v>91</v>
      </c>
      <c r="CJ185" s="323">
        <v>51</v>
      </c>
      <c r="CK185" s="323">
        <v>46</v>
      </c>
      <c r="CL185" s="323">
        <v>26</v>
      </c>
      <c r="CM185" s="323">
        <v>14</v>
      </c>
      <c r="CN185" s="323">
        <v>1</v>
      </c>
      <c r="CO185" s="323">
        <v>468</v>
      </c>
      <c r="CP185" s="329" t="s">
        <v>934</v>
      </c>
      <c r="CQ185" s="330">
        <v>0</v>
      </c>
      <c r="CR185" s="330">
        <v>0</v>
      </c>
      <c r="CS185" s="330">
        <v>0</v>
      </c>
      <c r="CT185" s="330">
        <v>0</v>
      </c>
      <c r="CU185" s="330">
        <v>0</v>
      </c>
      <c r="CV185" s="330">
        <v>0</v>
      </c>
      <c r="CW185" s="330">
        <v>0</v>
      </c>
      <c r="CX185" s="330">
        <v>0</v>
      </c>
      <c r="CY185" s="328">
        <v>0</v>
      </c>
      <c r="CZ185" s="322" t="s">
        <v>934</v>
      </c>
      <c r="DA185" s="323">
        <v>0</v>
      </c>
      <c r="DB185" s="323">
        <v>0</v>
      </c>
      <c r="DC185" s="323">
        <v>0</v>
      </c>
      <c r="DD185" s="323">
        <v>0</v>
      </c>
      <c r="DE185" s="323">
        <v>0</v>
      </c>
      <c r="DF185" s="323">
        <v>0</v>
      </c>
      <c r="DG185" s="323">
        <v>0</v>
      </c>
      <c r="DH185" s="323">
        <v>0</v>
      </c>
      <c r="DI185" s="323">
        <v>0</v>
      </c>
      <c r="DJ185" s="337">
        <v>0</v>
      </c>
      <c r="DK185" s="644">
        <v>39100.9</v>
      </c>
      <c r="DL185" s="614">
        <v>6524</v>
      </c>
      <c r="DM185" s="614">
        <v>12247</v>
      </c>
      <c r="DN185" s="614">
        <v>11494</v>
      </c>
      <c r="DO185" s="614">
        <v>6799</v>
      </c>
      <c r="DP185" s="614">
        <v>5269</v>
      </c>
      <c r="DQ185" s="614">
        <v>2896</v>
      </c>
      <c r="DR185" s="614">
        <v>1583</v>
      </c>
      <c r="DS185" s="615">
        <v>118</v>
      </c>
      <c r="DT185" s="607">
        <f t="shared" si="2"/>
        <v>46930</v>
      </c>
      <c r="DU185" s="342"/>
      <c r="EC185" s="646"/>
      <c r="EF185" s="126"/>
      <c r="EG185" s="124"/>
    </row>
    <row r="186" spans="1:137" ht="15">
      <c r="A186" s="22">
        <v>178</v>
      </c>
      <c r="B186" s="23" t="s">
        <v>488</v>
      </c>
      <c r="C186" s="24" t="s">
        <v>489</v>
      </c>
      <c r="D186" s="613"/>
      <c r="E186" s="629">
        <v>1047</v>
      </c>
      <c r="F186" s="629">
        <v>7765</v>
      </c>
      <c r="G186" s="629">
        <v>20009</v>
      </c>
      <c r="H186" s="629">
        <v>26698</v>
      </c>
      <c r="I186" s="629">
        <v>12992</v>
      </c>
      <c r="J186" s="629">
        <v>4763</v>
      </c>
      <c r="K186" s="629">
        <v>3858</v>
      </c>
      <c r="L186" s="629">
        <v>1442</v>
      </c>
      <c r="M186" s="633">
        <v>78574</v>
      </c>
      <c r="N186" s="322"/>
      <c r="O186" s="323">
        <v>37</v>
      </c>
      <c r="P186" s="323">
        <v>276</v>
      </c>
      <c r="Q186" s="323">
        <v>556</v>
      </c>
      <c r="R186" s="323">
        <v>521</v>
      </c>
      <c r="S186" s="323">
        <v>254</v>
      </c>
      <c r="T186" s="323">
        <v>81</v>
      </c>
      <c r="U186" s="323">
        <v>89</v>
      </c>
      <c r="V186" s="323">
        <v>39</v>
      </c>
      <c r="W186" s="323">
        <v>1853</v>
      </c>
      <c r="X186" s="329" t="s">
        <v>934</v>
      </c>
      <c r="Y186" s="330">
        <v>0</v>
      </c>
      <c r="Z186" s="330">
        <v>0</v>
      </c>
      <c r="AA186" s="330">
        <v>0</v>
      </c>
      <c r="AB186" s="330">
        <v>0</v>
      </c>
      <c r="AC186" s="330">
        <v>0</v>
      </c>
      <c r="AD186" s="330">
        <v>0</v>
      </c>
      <c r="AE186" s="330">
        <v>0</v>
      </c>
      <c r="AF186" s="330">
        <v>0</v>
      </c>
      <c r="AG186" s="328">
        <v>0</v>
      </c>
      <c r="AH186" s="329" t="s">
        <v>934</v>
      </c>
      <c r="AI186" s="184">
        <v>4</v>
      </c>
      <c r="AJ186" s="184">
        <v>36</v>
      </c>
      <c r="AK186" s="184">
        <v>50</v>
      </c>
      <c r="AL186" s="184">
        <v>104</v>
      </c>
      <c r="AM186" s="184">
        <v>55</v>
      </c>
      <c r="AN186" s="184">
        <v>35</v>
      </c>
      <c r="AO186" s="184">
        <v>10</v>
      </c>
      <c r="AP186" s="184">
        <v>13</v>
      </c>
      <c r="AQ186" s="336">
        <v>307</v>
      </c>
      <c r="AR186" s="323">
        <v>2</v>
      </c>
      <c r="AS186" s="323">
        <v>529</v>
      </c>
      <c r="AT186" s="323">
        <v>3665</v>
      </c>
      <c r="AU186" s="323">
        <v>7246</v>
      </c>
      <c r="AV186" s="323">
        <v>7276</v>
      </c>
      <c r="AW186" s="323">
        <v>3160</v>
      </c>
      <c r="AX186" s="323">
        <v>1001</v>
      </c>
      <c r="AY186" s="323">
        <v>676</v>
      </c>
      <c r="AZ186" s="323">
        <v>130</v>
      </c>
      <c r="BA186" s="323">
        <v>23685</v>
      </c>
      <c r="BB186" s="331">
        <v>0</v>
      </c>
      <c r="BC186" s="330">
        <v>5</v>
      </c>
      <c r="BD186" s="330">
        <v>64</v>
      </c>
      <c r="BE186" s="330">
        <v>206</v>
      </c>
      <c r="BF186" s="330">
        <v>195</v>
      </c>
      <c r="BG186" s="330">
        <v>78</v>
      </c>
      <c r="BH186" s="330">
        <v>31</v>
      </c>
      <c r="BI186" s="330">
        <v>17</v>
      </c>
      <c r="BJ186" s="330">
        <v>4</v>
      </c>
      <c r="BK186" s="328">
        <v>600</v>
      </c>
      <c r="BL186" s="323">
        <v>0</v>
      </c>
      <c r="BM186" s="323">
        <v>0</v>
      </c>
      <c r="BN186" s="323">
        <v>1</v>
      </c>
      <c r="BO186" s="323">
        <v>15</v>
      </c>
      <c r="BP186" s="323">
        <v>23</v>
      </c>
      <c r="BQ186" s="323">
        <v>15</v>
      </c>
      <c r="BR186" s="323">
        <v>9</v>
      </c>
      <c r="BS186" s="323">
        <v>24</v>
      </c>
      <c r="BT186" s="323">
        <v>22</v>
      </c>
      <c r="BU186" s="323">
        <v>109</v>
      </c>
      <c r="BV186" s="329" t="s">
        <v>934</v>
      </c>
      <c r="BW186" s="330">
        <v>22</v>
      </c>
      <c r="BX186" s="330">
        <v>114</v>
      </c>
      <c r="BY186" s="330">
        <v>315</v>
      </c>
      <c r="BZ186" s="330">
        <v>269</v>
      </c>
      <c r="CA186" s="330">
        <v>174</v>
      </c>
      <c r="CB186" s="330">
        <v>77</v>
      </c>
      <c r="CC186" s="330">
        <v>95</v>
      </c>
      <c r="CD186" s="330">
        <v>24</v>
      </c>
      <c r="CE186" s="328">
        <v>1090</v>
      </c>
      <c r="CF186" s="322" t="s">
        <v>934</v>
      </c>
      <c r="CG186" s="323">
        <v>0</v>
      </c>
      <c r="CH186" s="323">
        <v>0</v>
      </c>
      <c r="CI186" s="323">
        <v>0</v>
      </c>
      <c r="CJ186" s="323">
        <v>0</v>
      </c>
      <c r="CK186" s="323">
        <v>0</v>
      </c>
      <c r="CL186" s="323">
        <v>0</v>
      </c>
      <c r="CM186" s="323">
        <v>0</v>
      </c>
      <c r="CN186" s="323">
        <v>0</v>
      </c>
      <c r="CO186" s="323">
        <v>0</v>
      </c>
      <c r="CP186" s="329" t="s">
        <v>934</v>
      </c>
      <c r="CQ186" s="330">
        <v>0</v>
      </c>
      <c r="CR186" s="330">
        <v>0</v>
      </c>
      <c r="CS186" s="330">
        <v>0</v>
      </c>
      <c r="CT186" s="330">
        <v>0</v>
      </c>
      <c r="CU186" s="330">
        <v>0</v>
      </c>
      <c r="CV186" s="330">
        <v>0</v>
      </c>
      <c r="CW186" s="330">
        <v>0</v>
      </c>
      <c r="CX186" s="330">
        <v>0</v>
      </c>
      <c r="CY186" s="328">
        <v>0</v>
      </c>
      <c r="CZ186" s="322" t="s">
        <v>934</v>
      </c>
      <c r="DA186" s="323">
        <v>23</v>
      </c>
      <c r="DB186" s="323">
        <v>113</v>
      </c>
      <c r="DC186" s="323">
        <v>297</v>
      </c>
      <c r="DD186" s="323">
        <v>246</v>
      </c>
      <c r="DE186" s="323">
        <v>159</v>
      </c>
      <c r="DF186" s="323">
        <v>63</v>
      </c>
      <c r="DG186" s="323">
        <v>61</v>
      </c>
      <c r="DH186" s="323">
        <v>9</v>
      </c>
      <c r="DI186" s="323">
        <v>971</v>
      </c>
      <c r="DJ186" s="337">
        <v>7</v>
      </c>
      <c r="DK186" s="644">
        <v>74524.1</v>
      </c>
      <c r="DL186" s="616">
        <v>1047</v>
      </c>
      <c r="DM186" s="616">
        <v>7817</v>
      </c>
      <c r="DN186" s="616">
        <v>20230</v>
      </c>
      <c r="DO186" s="616">
        <v>26772</v>
      </c>
      <c r="DP186" s="616">
        <v>12980</v>
      </c>
      <c r="DQ186" s="616">
        <v>4834</v>
      </c>
      <c r="DR186" s="616">
        <v>3865</v>
      </c>
      <c r="DS186" s="617">
        <v>1483</v>
      </c>
      <c r="DT186" s="608">
        <f t="shared" si="2"/>
        <v>79028</v>
      </c>
      <c r="DU186" s="342"/>
      <c r="EC186" s="646"/>
      <c r="EF186" s="125"/>
      <c r="EG186" s="128"/>
    </row>
    <row r="187" spans="1:137" ht="15">
      <c r="A187" s="22">
        <v>179</v>
      </c>
      <c r="B187" s="23" t="s">
        <v>490</v>
      </c>
      <c r="C187" s="24" t="s">
        <v>491</v>
      </c>
      <c r="D187" s="613"/>
      <c r="E187" s="629">
        <v>3786</v>
      </c>
      <c r="F187" s="629">
        <v>10460</v>
      </c>
      <c r="G187" s="629">
        <v>15204</v>
      </c>
      <c r="H187" s="629">
        <v>8945</v>
      </c>
      <c r="I187" s="629">
        <v>8245</v>
      </c>
      <c r="J187" s="629">
        <v>4372</v>
      </c>
      <c r="K187" s="629">
        <v>2483</v>
      </c>
      <c r="L187" s="629">
        <v>201</v>
      </c>
      <c r="M187" s="627">
        <v>53696</v>
      </c>
      <c r="N187" s="322"/>
      <c r="O187" s="323">
        <v>290</v>
      </c>
      <c r="P187" s="323">
        <v>411</v>
      </c>
      <c r="Q187" s="323">
        <v>706</v>
      </c>
      <c r="R187" s="323">
        <v>275</v>
      </c>
      <c r="S187" s="323">
        <v>139</v>
      </c>
      <c r="T187" s="323">
        <v>51</v>
      </c>
      <c r="U187" s="323">
        <v>28</v>
      </c>
      <c r="V187" s="323">
        <v>7</v>
      </c>
      <c r="W187" s="323">
        <v>1907</v>
      </c>
      <c r="X187" s="329" t="s">
        <v>934</v>
      </c>
      <c r="Y187" s="330">
        <v>0</v>
      </c>
      <c r="Z187" s="330">
        <v>0</v>
      </c>
      <c r="AA187" s="330">
        <v>0</v>
      </c>
      <c r="AB187" s="330">
        <v>0</v>
      </c>
      <c r="AC187" s="330">
        <v>0</v>
      </c>
      <c r="AD187" s="330">
        <v>0</v>
      </c>
      <c r="AE187" s="330">
        <v>0</v>
      </c>
      <c r="AF187" s="330">
        <v>0</v>
      </c>
      <c r="AG187" s="328">
        <v>0</v>
      </c>
      <c r="AH187" s="329" t="s">
        <v>934</v>
      </c>
      <c r="AI187" s="184">
        <v>6</v>
      </c>
      <c r="AJ187" s="184">
        <v>26</v>
      </c>
      <c r="AK187" s="184">
        <v>70</v>
      </c>
      <c r="AL187" s="184">
        <v>48</v>
      </c>
      <c r="AM187" s="184">
        <v>52</v>
      </c>
      <c r="AN187" s="184">
        <v>27</v>
      </c>
      <c r="AO187" s="184">
        <v>19</v>
      </c>
      <c r="AP187" s="184">
        <v>10</v>
      </c>
      <c r="AQ187" s="336">
        <v>258</v>
      </c>
      <c r="AR187" s="323">
        <v>2</v>
      </c>
      <c r="AS187" s="323">
        <v>2223</v>
      </c>
      <c r="AT187" s="323">
        <v>4725</v>
      </c>
      <c r="AU187" s="323">
        <v>4437</v>
      </c>
      <c r="AV187" s="323">
        <v>1938</v>
      </c>
      <c r="AW187" s="323">
        <v>1230</v>
      </c>
      <c r="AX187" s="323">
        <v>469</v>
      </c>
      <c r="AY187" s="323">
        <v>241</v>
      </c>
      <c r="AZ187" s="323">
        <v>20</v>
      </c>
      <c r="BA187" s="323">
        <v>15285</v>
      </c>
      <c r="BB187" s="331">
        <v>0</v>
      </c>
      <c r="BC187" s="330">
        <v>25</v>
      </c>
      <c r="BD187" s="330">
        <v>77</v>
      </c>
      <c r="BE187" s="330">
        <v>90</v>
      </c>
      <c r="BF187" s="330">
        <v>55</v>
      </c>
      <c r="BG187" s="330">
        <v>58</v>
      </c>
      <c r="BH187" s="330">
        <v>27</v>
      </c>
      <c r="BI187" s="330">
        <v>8</v>
      </c>
      <c r="BJ187" s="330">
        <v>1</v>
      </c>
      <c r="BK187" s="328">
        <v>341</v>
      </c>
      <c r="BL187" s="323">
        <v>0</v>
      </c>
      <c r="BM187" s="323">
        <v>2</v>
      </c>
      <c r="BN187" s="323">
        <v>2</v>
      </c>
      <c r="BO187" s="323">
        <v>2</v>
      </c>
      <c r="BP187" s="323">
        <v>3</v>
      </c>
      <c r="BQ187" s="323">
        <v>2</v>
      </c>
      <c r="BR187" s="323">
        <v>6</v>
      </c>
      <c r="BS187" s="323">
        <v>12</v>
      </c>
      <c r="BT187" s="323">
        <v>0</v>
      </c>
      <c r="BU187" s="323">
        <v>29</v>
      </c>
      <c r="BV187" s="329" t="s">
        <v>934</v>
      </c>
      <c r="BW187" s="330">
        <v>14</v>
      </c>
      <c r="BX187" s="330">
        <v>27</v>
      </c>
      <c r="BY187" s="330">
        <v>22</v>
      </c>
      <c r="BZ187" s="330">
        <v>13</v>
      </c>
      <c r="CA187" s="330">
        <v>9</v>
      </c>
      <c r="CB187" s="330">
        <v>11</v>
      </c>
      <c r="CC187" s="330">
        <v>17</v>
      </c>
      <c r="CD187" s="330">
        <v>0</v>
      </c>
      <c r="CE187" s="328">
        <v>113</v>
      </c>
      <c r="CF187" s="322" t="s">
        <v>934</v>
      </c>
      <c r="CG187" s="323">
        <v>135</v>
      </c>
      <c r="CH187" s="323">
        <v>145</v>
      </c>
      <c r="CI187" s="323">
        <v>135</v>
      </c>
      <c r="CJ187" s="323">
        <v>100</v>
      </c>
      <c r="CK187" s="323">
        <v>71</v>
      </c>
      <c r="CL187" s="323">
        <v>36</v>
      </c>
      <c r="CM187" s="323">
        <v>25</v>
      </c>
      <c r="CN187" s="323">
        <v>7</v>
      </c>
      <c r="CO187" s="323">
        <v>654</v>
      </c>
      <c r="CP187" s="329" t="s">
        <v>934</v>
      </c>
      <c r="CQ187" s="330">
        <v>0</v>
      </c>
      <c r="CR187" s="330">
        <v>0</v>
      </c>
      <c r="CS187" s="330">
        <v>0</v>
      </c>
      <c r="CT187" s="330">
        <v>0</v>
      </c>
      <c r="CU187" s="330">
        <v>0</v>
      </c>
      <c r="CV187" s="330">
        <v>0</v>
      </c>
      <c r="CW187" s="330">
        <v>0</v>
      </c>
      <c r="CX187" s="330">
        <v>0</v>
      </c>
      <c r="CY187" s="328">
        <v>0</v>
      </c>
      <c r="CZ187" s="322" t="s">
        <v>934</v>
      </c>
      <c r="DA187" s="323">
        <v>0</v>
      </c>
      <c r="DB187" s="323">
        <v>0</v>
      </c>
      <c r="DC187" s="323">
        <v>0</v>
      </c>
      <c r="DD187" s="323">
        <v>0</v>
      </c>
      <c r="DE187" s="323">
        <v>0</v>
      </c>
      <c r="DF187" s="323">
        <v>0</v>
      </c>
      <c r="DG187" s="323">
        <v>0</v>
      </c>
      <c r="DH187" s="323">
        <v>0</v>
      </c>
      <c r="DI187" s="323">
        <v>0</v>
      </c>
      <c r="DJ187" s="337">
        <v>598</v>
      </c>
      <c r="DK187" s="644">
        <v>49001</v>
      </c>
      <c r="DL187" s="616">
        <v>3801</v>
      </c>
      <c r="DM187" s="616">
        <v>10598</v>
      </c>
      <c r="DN187" s="616">
        <v>15362</v>
      </c>
      <c r="DO187" s="616">
        <v>9266</v>
      </c>
      <c r="DP187" s="616">
        <v>8381</v>
      </c>
      <c r="DQ187" s="616">
        <v>4449</v>
      </c>
      <c r="DR187" s="616">
        <v>2585</v>
      </c>
      <c r="DS187" s="617">
        <v>204</v>
      </c>
      <c r="DT187" s="607">
        <f t="shared" si="2"/>
        <v>54646</v>
      </c>
      <c r="DU187" s="342"/>
      <c r="EC187" s="646"/>
      <c r="EF187" s="125"/>
      <c r="EG187" s="124"/>
    </row>
    <row r="188" spans="1:137" ht="15">
      <c r="A188" s="22">
        <v>180</v>
      </c>
      <c r="B188" s="23" t="s">
        <v>492</v>
      </c>
      <c r="C188" s="24" t="s">
        <v>493</v>
      </c>
      <c r="D188" s="613"/>
      <c r="E188" s="628">
        <v>5420</v>
      </c>
      <c r="F188" s="628">
        <v>8007</v>
      </c>
      <c r="G188" s="628">
        <v>5830</v>
      </c>
      <c r="H188" s="628">
        <v>5628</v>
      </c>
      <c r="I188" s="628">
        <v>4118</v>
      </c>
      <c r="J188" s="628">
        <v>2170</v>
      </c>
      <c r="K188" s="628">
        <v>966</v>
      </c>
      <c r="L188" s="628">
        <v>55</v>
      </c>
      <c r="M188" s="627">
        <v>32194</v>
      </c>
      <c r="N188" s="322"/>
      <c r="O188" s="323">
        <v>267</v>
      </c>
      <c r="P188" s="323">
        <v>207</v>
      </c>
      <c r="Q188" s="323">
        <v>115</v>
      </c>
      <c r="R188" s="323">
        <v>102</v>
      </c>
      <c r="S188" s="323">
        <v>52</v>
      </c>
      <c r="T188" s="323">
        <v>29</v>
      </c>
      <c r="U188" s="323">
        <v>12</v>
      </c>
      <c r="V188" s="323">
        <v>1</v>
      </c>
      <c r="W188" s="323">
        <v>785</v>
      </c>
      <c r="X188" s="329" t="s">
        <v>934</v>
      </c>
      <c r="Y188" s="330">
        <v>0</v>
      </c>
      <c r="Z188" s="330">
        <v>0</v>
      </c>
      <c r="AA188" s="330">
        <v>0</v>
      </c>
      <c r="AB188" s="330">
        <v>0</v>
      </c>
      <c r="AC188" s="330">
        <v>0</v>
      </c>
      <c r="AD188" s="330">
        <v>0</v>
      </c>
      <c r="AE188" s="330">
        <v>0</v>
      </c>
      <c r="AF188" s="330">
        <v>0</v>
      </c>
      <c r="AG188" s="328">
        <v>0</v>
      </c>
      <c r="AH188" s="329" t="s">
        <v>934</v>
      </c>
      <c r="AI188" s="184">
        <v>9</v>
      </c>
      <c r="AJ188" s="184">
        <v>34</v>
      </c>
      <c r="AK188" s="184">
        <v>23</v>
      </c>
      <c r="AL188" s="184">
        <v>31</v>
      </c>
      <c r="AM188" s="184">
        <v>32</v>
      </c>
      <c r="AN188" s="184">
        <v>21</v>
      </c>
      <c r="AO188" s="184">
        <v>19</v>
      </c>
      <c r="AP188" s="184">
        <v>4</v>
      </c>
      <c r="AQ188" s="336">
        <v>173</v>
      </c>
      <c r="AR188" s="323">
        <v>6</v>
      </c>
      <c r="AS188" s="323">
        <v>2836</v>
      </c>
      <c r="AT188" s="323">
        <v>2678</v>
      </c>
      <c r="AU188" s="323">
        <v>1578</v>
      </c>
      <c r="AV188" s="323">
        <v>1290</v>
      </c>
      <c r="AW188" s="323">
        <v>668</v>
      </c>
      <c r="AX188" s="323">
        <v>269</v>
      </c>
      <c r="AY188" s="323">
        <v>103</v>
      </c>
      <c r="AZ188" s="323">
        <v>5</v>
      </c>
      <c r="BA188" s="323">
        <v>9433</v>
      </c>
      <c r="BB188" s="331">
        <v>0</v>
      </c>
      <c r="BC188" s="330">
        <v>26</v>
      </c>
      <c r="BD188" s="330">
        <v>66</v>
      </c>
      <c r="BE188" s="330">
        <v>42</v>
      </c>
      <c r="BF188" s="330">
        <v>28</v>
      </c>
      <c r="BG188" s="330">
        <v>17</v>
      </c>
      <c r="BH188" s="330">
        <v>10</v>
      </c>
      <c r="BI188" s="330">
        <v>4</v>
      </c>
      <c r="BJ188" s="330">
        <v>0</v>
      </c>
      <c r="BK188" s="328">
        <v>193</v>
      </c>
      <c r="BL188" s="323">
        <v>0</v>
      </c>
      <c r="BM188" s="323">
        <v>3</v>
      </c>
      <c r="BN188" s="323">
        <v>0</v>
      </c>
      <c r="BO188" s="323">
        <v>7</v>
      </c>
      <c r="BP188" s="323">
        <v>7</v>
      </c>
      <c r="BQ188" s="323">
        <v>9</v>
      </c>
      <c r="BR188" s="323">
        <v>7</v>
      </c>
      <c r="BS188" s="323">
        <v>3</v>
      </c>
      <c r="BT188" s="323">
        <v>1</v>
      </c>
      <c r="BU188" s="323">
        <v>37</v>
      </c>
      <c r="BV188" s="329" t="s">
        <v>934</v>
      </c>
      <c r="BW188" s="330">
        <v>24</v>
      </c>
      <c r="BX188" s="330">
        <v>57</v>
      </c>
      <c r="BY188" s="330">
        <v>45</v>
      </c>
      <c r="BZ188" s="330">
        <v>28</v>
      </c>
      <c r="CA188" s="330">
        <v>48</v>
      </c>
      <c r="CB188" s="330">
        <v>21</v>
      </c>
      <c r="CC188" s="330">
        <v>23</v>
      </c>
      <c r="CD188" s="330">
        <v>3</v>
      </c>
      <c r="CE188" s="328">
        <v>249</v>
      </c>
      <c r="CF188" s="322" t="s">
        <v>934</v>
      </c>
      <c r="CG188" s="323">
        <v>0</v>
      </c>
      <c r="CH188" s="323">
        <v>1</v>
      </c>
      <c r="CI188" s="323">
        <v>2</v>
      </c>
      <c r="CJ188" s="323">
        <v>1</v>
      </c>
      <c r="CK188" s="323">
        <v>1</v>
      </c>
      <c r="CL188" s="323">
        <v>0</v>
      </c>
      <c r="CM188" s="323">
        <v>0</v>
      </c>
      <c r="CN188" s="323">
        <v>0</v>
      </c>
      <c r="CO188" s="323">
        <v>5</v>
      </c>
      <c r="CP188" s="329" t="s">
        <v>934</v>
      </c>
      <c r="CQ188" s="330">
        <v>0</v>
      </c>
      <c r="CR188" s="330">
        <v>0</v>
      </c>
      <c r="CS188" s="330">
        <v>0</v>
      </c>
      <c r="CT188" s="330">
        <v>0</v>
      </c>
      <c r="CU188" s="330">
        <v>0</v>
      </c>
      <c r="CV188" s="330">
        <v>0</v>
      </c>
      <c r="CW188" s="330">
        <v>0</v>
      </c>
      <c r="CX188" s="330">
        <v>0</v>
      </c>
      <c r="CY188" s="328">
        <v>0</v>
      </c>
      <c r="CZ188" s="322" t="s">
        <v>934</v>
      </c>
      <c r="DA188" s="323">
        <v>119</v>
      </c>
      <c r="DB188" s="323">
        <v>89</v>
      </c>
      <c r="DC188" s="323">
        <v>65</v>
      </c>
      <c r="DD188" s="323">
        <v>37</v>
      </c>
      <c r="DE188" s="323">
        <v>21</v>
      </c>
      <c r="DF188" s="323">
        <v>10</v>
      </c>
      <c r="DG188" s="323">
        <v>2</v>
      </c>
      <c r="DH188" s="323">
        <v>2</v>
      </c>
      <c r="DI188" s="323">
        <v>345</v>
      </c>
      <c r="DJ188" s="337">
        <v>0</v>
      </c>
      <c r="DK188" s="644">
        <v>27598.1</v>
      </c>
      <c r="DL188" s="614">
        <v>5518</v>
      </c>
      <c r="DM188" s="614">
        <v>8137</v>
      </c>
      <c r="DN188" s="614">
        <v>5929</v>
      </c>
      <c r="DO188" s="614">
        <v>5709</v>
      </c>
      <c r="DP188" s="614">
        <v>4160</v>
      </c>
      <c r="DQ188" s="614">
        <v>2206</v>
      </c>
      <c r="DR188" s="614">
        <v>960</v>
      </c>
      <c r="DS188" s="615">
        <v>58</v>
      </c>
      <c r="DT188" s="607">
        <f t="shared" si="2"/>
        <v>32677</v>
      </c>
      <c r="DU188" s="342"/>
      <c r="EC188" s="646"/>
      <c r="EF188" s="126"/>
      <c r="EG188" s="124"/>
    </row>
    <row r="189" spans="1:137" ht="15">
      <c r="A189" s="22">
        <v>181</v>
      </c>
      <c r="B189" s="23" t="s">
        <v>494</v>
      </c>
      <c r="C189" s="24" t="s">
        <v>495</v>
      </c>
      <c r="D189" s="613"/>
      <c r="E189" s="628">
        <v>4933</v>
      </c>
      <c r="F189" s="628">
        <v>10688</v>
      </c>
      <c r="G189" s="628">
        <v>8576</v>
      </c>
      <c r="H189" s="628">
        <v>6299</v>
      </c>
      <c r="I189" s="628">
        <v>4576</v>
      </c>
      <c r="J189" s="628">
        <v>2526</v>
      </c>
      <c r="K189" s="628">
        <v>1456</v>
      </c>
      <c r="L189" s="628">
        <v>105</v>
      </c>
      <c r="M189" s="627">
        <v>39159</v>
      </c>
      <c r="N189" s="322"/>
      <c r="O189" s="323">
        <v>303</v>
      </c>
      <c r="P189" s="323">
        <v>238</v>
      </c>
      <c r="Q189" s="323">
        <v>140</v>
      </c>
      <c r="R189" s="323">
        <v>86</v>
      </c>
      <c r="S189" s="323">
        <v>45</v>
      </c>
      <c r="T189" s="323">
        <v>34</v>
      </c>
      <c r="U189" s="323">
        <v>21</v>
      </c>
      <c r="V189" s="323">
        <v>5</v>
      </c>
      <c r="W189" s="323">
        <v>872</v>
      </c>
      <c r="X189" s="329" t="s">
        <v>934</v>
      </c>
      <c r="Y189" s="330">
        <v>0</v>
      </c>
      <c r="Z189" s="330">
        <v>0</v>
      </c>
      <c r="AA189" s="330">
        <v>0</v>
      </c>
      <c r="AB189" s="330">
        <v>0</v>
      </c>
      <c r="AC189" s="330">
        <v>0</v>
      </c>
      <c r="AD189" s="330">
        <v>0</v>
      </c>
      <c r="AE189" s="330">
        <v>0</v>
      </c>
      <c r="AF189" s="330">
        <v>0</v>
      </c>
      <c r="AG189" s="328">
        <v>0</v>
      </c>
      <c r="AH189" s="329" t="s">
        <v>934</v>
      </c>
      <c r="AI189" s="184">
        <v>12</v>
      </c>
      <c r="AJ189" s="184">
        <v>84</v>
      </c>
      <c r="AK189" s="184">
        <v>86</v>
      </c>
      <c r="AL189" s="184">
        <v>82</v>
      </c>
      <c r="AM189" s="184">
        <v>58</v>
      </c>
      <c r="AN189" s="184">
        <v>32</v>
      </c>
      <c r="AO189" s="184">
        <v>28</v>
      </c>
      <c r="AP189" s="184">
        <v>8</v>
      </c>
      <c r="AQ189" s="336">
        <v>390</v>
      </c>
      <c r="AR189" s="323">
        <v>6</v>
      </c>
      <c r="AS189" s="323">
        <v>2561</v>
      </c>
      <c r="AT189" s="323">
        <v>3645</v>
      </c>
      <c r="AU189" s="323">
        <v>2226</v>
      </c>
      <c r="AV189" s="323">
        <v>1158</v>
      </c>
      <c r="AW189" s="323">
        <v>627</v>
      </c>
      <c r="AX189" s="323">
        <v>303</v>
      </c>
      <c r="AY189" s="323">
        <v>165</v>
      </c>
      <c r="AZ189" s="323">
        <v>15</v>
      </c>
      <c r="BA189" s="323">
        <v>10706</v>
      </c>
      <c r="BB189" s="331">
        <v>0</v>
      </c>
      <c r="BC189" s="330">
        <v>40</v>
      </c>
      <c r="BD189" s="330">
        <v>71</v>
      </c>
      <c r="BE189" s="330">
        <v>61</v>
      </c>
      <c r="BF189" s="330">
        <v>39</v>
      </c>
      <c r="BG189" s="330">
        <v>35</v>
      </c>
      <c r="BH189" s="330">
        <v>20</v>
      </c>
      <c r="BI189" s="330">
        <v>6</v>
      </c>
      <c r="BJ189" s="330">
        <v>1</v>
      </c>
      <c r="BK189" s="328">
        <v>273</v>
      </c>
      <c r="BL189" s="323">
        <v>0</v>
      </c>
      <c r="BM189" s="323">
        <v>1</v>
      </c>
      <c r="BN189" s="323">
        <v>7</v>
      </c>
      <c r="BO189" s="323">
        <v>9</v>
      </c>
      <c r="BP189" s="323">
        <v>5</v>
      </c>
      <c r="BQ189" s="323">
        <v>5</v>
      </c>
      <c r="BR189" s="323">
        <v>8</v>
      </c>
      <c r="BS189" s="323">
        <v>11</v>
      </c>
      <c r="BT189" s="323">
        <v>2</v>
      </c>
      <c r="BU189" s="323">
        <v>48</v>
      </c>
      <c r="BV189" s="329" t="s">
        <v>934</v>
      </c>
      <c r="BW189" s="330">
        <v>41</v>
      </c>
      <c r="BX189" s="330">
        <v>66</v>
      </c>
      <c r="BY189" s="330">
        <v>80</v>
      </c>
      <c r="BZ189" s="330">
        <v>45</v>
      </c>
      <c r="CA189" s="330">
        <v>58</v>
      </c>
      <c r="CB189" s="330">
        <v>32</v>
      </c>
      <c r="CC189" s="330">
        <v>34</v>
      </c>
      <c r="CD189" s="330">
        <v>6</v>
      </c>
      <c r="CE189" s="328">
        <v>362</v>
      </c>
      <c r="CF189" s="322" t="s">
        <v>934</v>
      </c>
      <c r="CG189" s="323">
        <v>0</v>
      </c>
      <c r="CH189" s="323">
        <v>0</v>
      </c>
      <c r="CI189" s="323">
        <v>0</v>
      </c>
      <c r="CJ189" s="323">
        <v>0</v>
      </c>
      <c r="CK189" s="323">
        <v>0</v>
      </c>
      <c r="CL189" s="323">
        <v>0</v>
      </c>
      <c r="CM189" s="323">
        <v>0</v>
      </c>
      <c r="CN189" s="323">
        <v>0</v>
      </c>
      <c r="CO189" s="323">
        <v>0</v>
      </c>
      <c r="CP189" s="329" t="s">
        <v>934</v>
      </c>
      <c r="CQ189" s="330">
        <v>111</v>
      </c>
      <c r="CR189" s="330">
        <v>101</v>
      </c>
      <c r="CS189" s="330">
        <v>74</v>
      </c>
      <c r="CT189" s="330">
        <v>59</v>
      </c>
      <c r="CU189" s="330">
        <v>32</v>
      </c>
      <c r="CV189" s="330">
        <v>19</v>
      </c>
      <c r="CW189" s="330">
        <v>15</v>
      </c>
      <c r="CX189" s="330">
        <v>1</v>
      </c>
      <c r="CY189" s="328">
        <v>412</v>
      </c>
      <c r="CZ189" s="322" t="s">
        <v>934</v>
      </c>
      <c r="DA189" s="323">
        <v>0</v>
      </c>
      <c r="DB189" s="323">
        <v>0</v>
      </c>
      <c r="DC189" s="323">
        <v>0</v>
      </c>
      <c r="DD189" s="323">
        <v>0</v>
      </c>
      <c r="DE189" s="323">
        <v>0</v>
      </c>
      <c r="DF189" s="323">
        <v>0</v>
      </c>
      <c r="DG189" s="323">
        <v>0</v>
      </c>
      <c r="DH189" s="323">
        <v>0</v>
      </c>
      <c r="DI189" s="323">
        <v>0</v>
      </c>
      <c r="DJ189" s="337">
        <v>216.7</v>
      </c>
      <c r="DK189" s="644">
        <v>34219</v>
      </c>
      <c r="DL189" s="614">
        <v>4983</v>
      </c>
      <c r="DM189" s="614">
        <v>10897</v>
      </c>
      <c r="DN189" s="614">
        <v>8758</v>
      </c>
      <c r="DO189" s="614">
        <v>6437</v>
      </c>
      <c r="DP189" s="614">
        <v>4700</v>
      </c>
      <c r="DQ189" s="614">
        <v>2583</v>
      </c>
      <c r="DR189" s="614">
        <v>1496</v>
      </c>
      <c r="DS189" s="615">
        <v>101</v>
      </c>
      <c r="DT189" s="607">
        <f t="shared" si="2"/>
        <v>39955</v>
      </c>
      <c r="DU189" s="342"/>
      <c r="EC189" s="646"/>
      <c r="EF189" s="126"/>
      <c r="EG189" s="124"/>
    </row>
    <row r="190" spans="1:137" ht="15">
      <c r="A190" s="22">
        <v>182</v>
      </c>
      <c r="B190" s="23" t="s">
        <v>496</v>
      </c>
      <c r="C190" s="24" t="s">
        <v>497</v>
      </c>
      <c r="D190" s="613"/>
      <c r="E190" s="626">
        <v>1762</v>
      </c>
      <c r="F190" s="626">
        <v>5566</v>
      </c>
      <c r="G190" s="626">
        <v>11894</v>
      </c>
      <c r="H190" s="626">
        <v>15304</v>
      </c>
      <c r="I190" s="626">
        <v>9968</v>
      </c>
      <c r="J190" s="626">
        <v>7508</v>
      </c>
      <c r="K190" s="626">
        <v>3968</v>
      </c>
      <c r="L190" s="626">
        <v>318</v>
      </c>
      <c r="M190" s="627">
        <v>56288</v>
      </c>
      <c r="N190" s="322"/>
      <c r="O190" s="323">
        <v>172</v>
      </c>
      <c r="P190" s="323">
        <v>283</v>
      </c>
      <c r="Q190" s="323">
        <v>389</v>
      </c>
      <c r="R190" s="323">
        <v>308</v>
      </c>
      <c r="S190" s="323">
        <v>165</v>
      </c>
      <c r="T190" s="323">
        <v>108</v>
      </c>
      <c r="U190" s="323">
        <v>62</v>
      </c>
      <c r="V190" s="323">
        <v>8</v>
      </c>
      <c r="W190" s="323">
        <v>1495</v>
      </c>
      <c r="X190" s="329" t="s">
        <v>934</v>
      </c>
      <c r="Y190" s="330">
        <v>3</v>
      </c>
      <c r="Z190" s="330">
        <v>0</v>
      </c>
      <c r="AA190" s="330">
        <v>0</v>
      </c>
      <c r="AB190" s="330">
        <v>2</v>
      </c>
      <c r="AC190" s="330">
        <v>0</v>
      </c>
      <c r="AD190" s="330">
        <v>0</v>
      </c>
      <c r="AE190" s="330">
        <v>0</v>
      </c>
      <c r="AF190" s="330">
        <v>0</v>
      </c>
      <c r="AG190" s="328">
        <v>5</v>
      </c>
      <c r="AH190" s="329" t="s">
        <v>934</v>
      </c>
      <c r="AI190" s="184">
        <v>3</v>
      </c>
      <c r="AJ190" s="184">
        <v>12</v>
      </c>
      <c r="AK190" s="184">
        <v>34</v>
      </c>
      <c r="AL190" s="184">
        <v>61</v>
      </c>
      <c r="AM190" s="184">
        <v>51</v>
      </c>
      <c r="AN190" s="184">
        <v>32</v>
      </c>
      <c r="AO190" s="184">
        <v>33</v>
      </c>
      <c r="AP190" s="184">
        <v>15</v>
      </c>
      <c r="AQ190" s="336">
        <v>241</v>
      </c>
      <c r="AR190" s="323">
        <v>0</v>
      </c>
      <c r="AS190" s="323">
        <v>929</v>
      </c>
      <c r="AT190" s="323">
        <v>3356</v>
      </c>
      <c r="AU190" s="323">
        <v>4629</v>
      </c>
      <c r="AV190" s="323">
        <v>4230</v>
      </c>
      <c r="AW190" s="323">
        <v>2049</v>
      </c>
      <c r="AX190" s="323">
        <v>1051</v>
      </c>
      <c r="AY190" s="323">
        <v>451</v>
      </c>
      <c r="AZ190" s="323">
        <v>23</v>
      </c>
      <c r="BA190" s="323">
        <v>16718</v>
      </c>
      <c r="BB190" s="331">
        <v>0</v>
      </c>
      <c r="BC190" s="330">
        <v>6</v>
      </c>
      <c r="BD190" s="330">
        <v>27</v>
      </c>
      <c r="BE190" s="330">
        <v>121</v>
      </c>
      <c r="BF190" s="330">
        <v>178</v>
      </c>
      <c r="BG190" s="330">
        <v>82</v>
      </c>
      <c r="BH190" s="330">
        <v>65</v>
      </c>
      <c r="BI190" s="330">
        <v>40</v>
      </c>
      <c r="BJ190" s="330">
        <v>5</v>
      </c>
      <c r="BK190" s="328">
        <v>524</v>
      </c>
      <c r="BL190" s="323">
        <v>0</v>
      </c>
      <c r="BM190" s="323">
        <v>0</v>
      </c>
      <c r="BN190" s="323">
        <v>1</v>
      </c>
      <c r="BO190" s="323">
        <v>4</v>
      </c>
      <c r="BP190" s="323">
        <v>4</v>
      </c>
      <c r="BQ190" s="323">
        <v>5</v>
      </c>
      <c r="BR190" s="323">
        <v>20</v>
      </c>
      <c r="BS190" s="323">
        <v>19</v>
      </c>
      <c r="BT190" s="323">
        <v>5</v>
      </c>
      <c r="BU190" s="323">
        <v>58</v>
      </c>
      <c r="BV190" s="329" t="s">
        <v>934</v>
      </c>
      <c r="BW190" s="330">
        <v>53</v>
      </c>
      <c r="BX190" s="330">
        <v>43</v>
      </c>
      <c r="BY190" s="330">
        <v>81</v>
      </c>
      <c r="BZ190" s="330">
        <v>74</v>
      </c>
      <c r="CA190" s="330">
        <v>59</v>
      </c>
      <c r="CB190" s="330">
        <v>34</v>
      </c>
      <c r="CC190" s="330">
        <v>36</v>
      </c>
      <c r="CD190" s="330">
        <v>10</v>
      </c>
      <c r="CE190" s="328">
        <v>390</v>
      </c>
      <c r="CF190" s="322" t="s">
        <v>934</v>
      </c>
      <c r="CG190" s="323">
        <v>0</v>
      </c>
      <c r="CH190" s="323">
        <v>0</v>
      </c>
      <c r="CI190" s="323">
        <v>0</v>
      </c>
      <c r="CJ190" s="323">
        <v>0</v>
      </c>
      <c r="CK190" s="323">
        <v>0</v>
      </c>
      <c r="CL190" s="323">
        <v>0</v>
      </c>
      <c r="CM190" s="323">
        <v>0</v>
      </c>
      <c r="CN190" s="323">
        <v>0</v>
      </c>
      <c r="CO190" s="323">
        <v>0</v>
      </c>
      <c r="CP190" s="329" t="s">
        <v>934</v>
      </c>
      <c r="CQ190" s="330">
        <v>71</v>
      </c>
      <c r="CR190" s="330">
        <v>93</v>
      </c>
      <c r="CS190" s="330">
        <v>141</v>
      </c>
      <c r="CT190" s="330">
        <v>89</v>
      </c>
      <c r="CU190" s="330">
        <v>54</v>
      </c>
      <c r="CV190" s="330">
        <v>19</v>
      </c>
      <c r="CW190" s="330">
        <v>20</v>
      </c>
      <c r="CX190" s="330">
        <v>3</v>
      </c>
      <c r="CY190" s="328">
        <v>490</v>
      </c>
      <c r="CZ190" s="322" t="s">
        <v>934</v>
      </c>
      <c r="DA190" s="323">
        <v>0</v>
      </c>
      <c r="DB190" s="323">
        <v>0</v>
      </c>
      <c r="DC190" s="323">
        <v>0</v>
      </c>
      <c r="DD190" s="323">
        <v>0</v>
      </c>
      <c r="DE190" s="323">
        <v>0</v>
      </c>
      <c r="DF190" s="323">
        <v>0</v>
      </c>
      <c r="DG190" s="323">
        <v>0</v>
      </c>
      <c r="DH190" s="323">
        <v>0</v>
      </c>
      <c r="DI190" s="323">
        <v>0</v>
      </c>
      <c r="DJ190" s="337">
        <v>0</v>
      </c>
      <c r="DK190" s="644">
        <v>55650.6</v>
      </c>
      <c r="DL190" s="614">
        <v>1851</v>
      </c>
      <c r="DM190" s="614">
        <v>5583</v>
      </c>
      <c r="DN190" s="614">
        <v>11988</v>
      </c>
      <c r="DO190" s="614">
        <v>15477</v>
      </c>
      <c r="DP190" s="614">
        <v>10068</v>
      </c>
      <c r="DQ190" s="614">
        <v>7555</v>
      </c>
      <c r="DR190" s="614">
        <v>3975</v>
      </c>
      <c r="DS190" s="615">
        <v>320</v>
      </c>
      <c r="DT190" s="607">
        <f t="shared" si="2"/>
        <v>56817</v>
      </c>
      <c r="DU190" s="342"/>
      <c r="EC190" s="646"/>
      <c r="EF190" s="126"/>
      <c r="EG190" s="124"/>
    </row>
    <row r="191" spans="1:137" ht="15">
      <c r="A191" s="22">
        <v>183</v>
      </c>
      <c r="B191" s="23" t="s">
        <v>498</v>
      </c>
      <c r="C191" s="24" t="s">
        <v>499</v>
      </c>
      <c r="D191" s="613"/>
      <c r="E191" s="629">
        <v>33637</v>
      </c>
      <c r="F191" s="629">
        <v>9019</v>
      </c>
      <c r="G191" s="629">
        <v>9832</v>
      </c>
      <c r="H191" s="629">
        <v>4319</v>
      </c>
      <c r="I191" s="629">
        <v>1828</v>
      </c>
      <c r="J191" s="629">
        <v>631</v>
      </c>
      <c r="K191" s="629">
        <v>410</v>
      </c>
      <c r="L191" s="629">
        <v>47</v>
      </c>
      <c r="M191" s="627">
        <v>59723</v>
      </c>
      <c r="N191" s="322"/>
      <c r="O191" s="323">
        <v>1672</v>
      </c>
      <c r="P191" s="323">
        <v>211</v>
      </c>
      <c r="Q191" s="323">
        <v>212</v>
      </c>
      <c r="R191" s="323">
        <v>79</v>
      </c>
      <c r="S191" s="323">
        <v>41</v>
      </c>
      <c r="T191" s="323">
        <v>9</v>
      </c>
      <c r="U191" s="323">
        <v>6</v>
      </c>
      <c r="V191" s="323">
        <v>9</v>
      </c>
      <c r="W191" s="323">
        <v>2239</v>
      </c>
      <c r="X191" s="329" t="s">
        <v>934</v>
      </c>
      <c r="Y191" s="330">
        <v>0</v>
      </c>
      <c r="Z191" s="330">
        <v>0</v>
      </c>
      <c r="AA191" s="330">
        <v>0</v>
      </c>
      <c r="AB191" s="330">
        <v>0</v>
      </c>
      <c r="AC191" s="330">
        <v>0</v>
      </c>
      <c r="AD191" s="330">
        <v>0</v>
      </c>
      <c r="AE191" s="330">
        <v>0</v>
      </c>
      <c r="AF191" s="330">
        <v>0</v>
      </c>
      <c r="AG191" s="328">
        <v>0</v>
      </c>
      <c r="AH191" s="329" t="s">
        <v>934</v>
      </c>
      <c r="AI191" s="184">
        <v>55</v>
      </c>
      <c r="AJ191" s="184">
        <v>45</v>
      </c>
      <c r="AK191" s="184">
        <v>63</v>
      </c>
      <c r="AL191" s="184">
        <v>33</v>
      </c>
      <c r="AM191" s="184">
        <v>32</v>
      </c>
      <c r="AN191" s="184">
        <v>8</v>
      </c>
      <c r="AO191" s="184">
        <v>16</v>
      </c>
      <c r="AP191" s="184">
        <v>7</v>
      </c>
      <c r="AQ191" s="336">
        <v>259</v>
      </c>
      <c r="AR191" s="323">
        <v>14</v>
      </c>
      <c r="AS191" s="323">
        <v>13047</v>
      </c>
      <c r="AT191" s="323">
        <v>2750</v>
      </c>
      <c r="AU191" s="323">
        <v>2476</v>
      </c>
      <c r="AV191" s="323">
        <v>730</v>
      </c>
      <c r="AW191" s="323">
        <v>262</v>
      </c>
      <c r="AX191" s="323">
        <v>80</v>
      </c>
      <c r="AY191" s="323">
        <v>41</v>
      </c>
      <c r="AZ191" s="323">
        <v>2</v>
      </c>
      <c r="BA191" s="323">
        <v>19402</v>
      </c>
      <c r="BB191" s="331">
        <v>2</v>
      </c>
      <c r="BC191" s="330">
        <v>379</v>
      </c>
      <c r="BD191" s="330">
        <v>127</v>
      </c>
      <c r="BE191" s="330">
        <v>122</v>
      </c>
      <c r="BF191" s="330">
        <v>63</v>
      </c>
      <c r="BG191" s="330">
        <v>23</v>
      </c>
      <c r="BH191" s="330">
        <v>3</v>
      </c>
      <c r="BI191" s="330">
        <v>5</v>
      </c>
      <c r="BJ191" s="330">
        <v>2</v>
      </c>
      <c r="BK191" s="328">
        <v>726</v>
      </c>
      <c r="BL191" s="323">
        <v>0</v>
      </c>
      <c r="BM191" s="323">
        <v>19</v>
      </c>
      <c r="BN191" s="323">
        <v>7</v>
      </c>
      <c r="BO191" s="323">
        <v>13</v>
      </c>
      <c r="BP191" s="323">
        <v>5</v>
      </c>
      <c r="BQ191" s="323">
        <v>6</v>
      </c>
      <c r="BR191" s="323">
        <v>11</v>
      </c>
      <c r="BS191" s="323">
        <v>15</v>
      </c>
      <c r="BT191" s="323">
        <v>4</v>
      </c>
      <c r="BU191" s="323">
        <v>80</v>
      </c>
      <c r="BV191" s="329" t="s">
        <v>934</v>
      </c>
      <c r="BW191" s="330">
        <v>3</v>
      </c>
      <c r="BX191" s="330">
        <v>4</v>
      </c>
      <c r="BY191" s="330">
        <v>3</v>
      </c>
      <c r="BZ191" s="330">
        <v>2</v>
      </c>
      <c r="CA191" s="330">
        <v>2</v>
      </c>
      <c r="CB191" s="330">
        <v>0</v>
      </c>
      <c r="CC191" s="330">
        <v>0</v>
      </c>
      <c r="CD191" s="330">
        <v>0</v>
      </c>
      <c r="CE191" s="328">
        <v>14</v>
      </c>
      <c r="CF191" s="322" t="s">
        <v>934</v>
      </c>
      <c r="CG191" s="323">
        <v>1127</v>
      </c>
      <c r="CH191" s="323">
        <v>128</v>
      </c>
      <c r="CI191" s="323">
        <v>110</v>
      </c>
      <c r="CJ191" s="323">
        <v>54</v>
      </c>
      <c r="CK191" s="323">
        <v>20</v>
      </c>
      <c r="CL191" s="323">
        <v>7</v>
      </c>
      <c r="CM191" s="323">
        <v>10</v>
      </c>
      <c r="CN191" s="323">
        <v>1</v>
      </c>
      <c r="CO191" s="323">
        <v>1457</v>
      </c>
      <c r="CP191" s="329" t="s">
        <v>934</v>
      </c>
      <c r="CQ191" s="330">
        <v>0</v>
      </c>
      <c r="CR191" s="330">
        <v>0</v>
      </c>
      <c r="CS191" s="330">
        <v>0</v>
      </c>
      <c r="CT191" s="330">
        <v>0</v>
      </c>
      <c r="CU191" s="330">
        <v>0</v>
      </c>
      <c r="CV191" s="330">
        <v>0</v>
      </c>
      <c r="CW191" s="330">
        <v>0</v>
      </c>
      <c r="CX191" s="330">
        <v>0</v>
      </c>
      <c r="CY191" s="328">
        <v>0</v>
      </c>
      <c r="CZ191" s="322" t="s">
        <v>934</v>
      </c>
      <c r="DA191" s="323">
        <v>0</v>
      </c>
      <c r="DB191" s="323">
        <v>0</v>
      </c>
      <c r="DC191" s="323">
        <v>0</v>
      </c>
      <c r="DD191" s="323">
        <v>0</v>
      </c>
      <c r="DE191" s="323">
        <v>0</v>
      </c>
      <c r="DF191" s="323">
        <v>0</v>
      </c>
      <c r="DG191" s="323">
        <v>0</v>
      </c>
      <c r="DH191" s="323">
        <v>0</v>
      </c>
      <c r="DI191" s="323">
        <v>0</v>
      </c>
      <c r="DJ191" s="337">
        <v>1.6</v>
      </c>
      <c r="DK191" s="644">
        <v>40456.1</v>
      </c>
      <c r="DL191" s="616">
        <v>33591</v>
      </c>
      <c r="DM191" s="616">
        <v>9157</v>
      </c>
      <c r="DN191" s="616">
        <v>9922</v>
      </c>
      <c r="DO191" s="616">
        <v>4352</v>
      </c>
      <c r="DP191" s="616">
        <v>1836</v>
      </c>
      <c r="DQ191" s="616">
        <v>631</v>
      </c>
      <c r="DR191" s="616">
        <v>418</v>
      </c>
      <c r="DS191" s="617">
        <v>46</v>
      </c>
      <c r="DT191" s="607">
        <f t="shared" si="2"/>
        <v>59953</v>
      </c>
      <c r="DU191" s="342"/>
      <c r="EC191" s="646"/>
      <c r="EF191" s="125"/>
      <c r="EG191" s="124"/>
    </row>
    <row r="192" spans="1:137" ht="15">
      <c r="A192" s="22">
        <v>184</v>
      </c>
      <c r="B192" s="23" t="s">
        <v>500</v>
      </c>
      <c r="C192" s="24" t="s">
        <v>501</v>
      </c>
      <c r="D192" s="613"/>
      <c r="E192" s="628">
        <v>14912</v>
      </c>
      <c r="F192" s="628">
        <v>25553</v>
      </c>
      <c r="G192" s="628">
        <v>25560</v>
      </c>
      <c r="H192" s="628">
        <v>11228</v>
      </c>
      <c r="I192" s="628">
        <v>9163</v>
      </c>
      <c r="J192" s="628">
        <v>4752</v>
      </c>
      <c r="K192" s="628">
        <v>2584</v>
      </c>
      <c r="L192" s="628">
        <v>129</v>
      </c>
      <c r="M192" s="627">
        <v>93881</v>
      </c>
      <c r="N192" s="322"/>
      <c r="O192" s="323">
        <v>734</v>
      </c>
      <c r="P192" s="323">
        <v>637</v>
      </c>
      <c r="Q192" s="323">
        <v>567</v>
      </c>
      <c r="R192" s="323">
        <v>178</v>
      </c>
      <c r="S192" s="323">
        <v>112</v>
      </c>
      <c r="T192" s="323">
        <v>63</v>
      </c>
      <c r="U192" s="323">
        <v>42</v>
      </c>
      <c r="V192" s="323">
        <v>2</v>
      </c>
      <c r="W192" s="323">
        <v>2335</v>
      </c>
      <c r="X192" s="329" t="s">
        <v>934</v>
      </c>
      <c r="Y192" s="330">
        <v>0</v>
      </c>
      <c r="Z192" s="330">
        <v>0</v>
      </c>
      <c r="AA192" s="330">
        <v>0</v>
      </c>
      <c r="AB192" s="330">
        <v>0</v>
      </c>
      <c r="AC192" s="330">
        <v>0</v>
      </c>
      <c r="AD192" s="330">
        <v>1</v>
      </c>
      <c r="AE192" s="330">
        <v>0</v>
      </c>
      <c r="AF192" s="330">
        <v>0</v>
      </c>
      <c r="AG192" s="328">
        <v>1</v>
      </c>
      <c r="AH192" s="329" t="s">
        <v>934</v>
      </c>
      <c r="AI192" s="184">
        <v>24</v>
      </c>
      <c r="AJ192" s="184">
        <v>94</v>
      </c>
      <c r="AK192" s="184">
        <v>116</v>
      </c>
      <c r="AL192" s="184">
        <v>75</v>
      </c>
      <c r="AM192" s="184">
        <v>66</v>
      </c>
      <c r="AN192" s="184">
        <v>31</v>
      </c>
      <c r="AO192" s="184">
        <v>20</v>
      </c>
      <c r="AP192" s="184">
        <v>22</v>
      </c>
      <c r="AQ192" s="336">
        <v>448</v>
      </c>
      <c r="AR192" s="323">
        <v>13</v>
      </c>
      <c r="AS192" s="323">
        <v>8562</v>
      </c>
      <c r="AT192" s="323">
        <v>10368</v>
      </c>
      <c r="AU192" s="323">
        <v>7850</v>
      </c>
      <c r="AV192" s="323">
        <v>2367</v>
      </c>
      <c r="AW192" s="323">
        <v>1243</v>
      </c>
      <c r="AX192" s="323">
        <v>538</v>
      </c>
      <c r="AY192" s="323">
        <v>206</v>
      </c>
      <c r="AZ192" s="323">
        <v>11</v>
      </c>
      <c r="BA192" s="323">
        <v>31158</v>
      </c>
      <c r="BB192" s="331">
        <v>1</v>
      </c>
      <c r="BC192" s="330">
        <v>83</v>
      </c>
      <c r="BD192" s="330">
        <v>192</v>
      </c>
      <c r="BE192" s="330">
        <v>204</v>
      </c>
      <c r="BF192" s="330">
        <v>73</v>
      </c>
      <c r="BG192" s="330">
        <v>54</v>
      </c>
      <c r="BH192" s="330">
        <v>25</v>
      </c>
      <c r="BI192" s="330">
        <v>9</v>
      </c>
      <c r="BJ192" s="330">
        <v>1</v>
      </c>
      <c r="BK192" s="328">
        <v>642</v>
      </c>
      <c r="BL192" s="323">
        <v>0</v>
      </c>
      <c r="BM192" s="323">
        <v>19</v>
      </c>
      <c r="BN192" s="323">
        <v>8</v>
      </c>
      <c r="BO192" s="323">
        <v>17</v>
      </c>
      <c r="BP192" s="323">
        <v>9</v>
      </c>
      <c r="BQ192" s="323">
        <v>10</v>
      </c>
      <c r="BR192" s="323">
        <v>7</v>
      </c>
      <c r="BS192" s="323">
        <v>28</v>
      </c>
      <c r="BT192" s="323">
        <v>9</v>
      </c>
      <c r="BU192" s="323">
        <v>107</v>
      </c>
      <c r="BV192" s="329" t="s">
        <v>934</v>
      </c>
      <c r="BW192" s="330">
        <v>173</v>
      </c>
      <c r="BX192" s="330">
        <v>243</v>
      </c>
      <c r="BY192" s="330">
        <v>157</v>
      </c>
      <c r="BZ192" s="330">
        <v>88</v>
      </c>
      <c r="CA192" s="330">
        <v>55</v>
      </c>
      <c r="CB192" s="330">
        <v>31</v>
      </c>
      <c r="CC192" s="330">
        <v>21</v>
      </c>
      <c r="CD192" s="330">
        <v>4</v>
      </c>
      <c r="CE192" s="328">
        <v>772</v>
      </c>
      <c r="CF192" s="322" t="s">
        <v>934</v>
      </c>
      <c r="CG192" s="323">
        <v>0</v>
      </c>
      <c r="CH192" s="323">
        <v>0</v>
      </c>
      <c r="CI192" s="323">
        <v>0</v>
      </c>
      <c r="CJ192" s="323">
        <v>0</v>
      </c>
      <c r="CK192" s="323">
        <v>0</v>
      </c>
      <c r="CL192" s="323">
        <v>0</v>
      </c>
      <c r="CM192" s="323">
        <v>0</v>
      </c>
      <c r="CN192" s="323">
        <v>0</v>
      </c>
      <c r="CO192" s="323">
        <v>0</v>
      </c>
      <c r="CP192" s="329" t="s">
        <v>934</v>
      </c>
      <c r="CQ192" s="330">
        <v>124</v>
      </c>
      <c r="CR192" s="330">
        <v>154</v>
      </c>
      <c r="CS192" s="330">
        <v>117</v>
      </c>
      <c r="CT192" s="330">
        <v>57</v>
      </c>
      <c r="CU192" s="330">
        <v>34</v>
      </c>
      <c r="CV192" s="330">
        <v>24</v>
      </c>
      <c r="CW192" s="330">
        <v>26</v>
      </c>
      <c r="CX192" s="330">
        <v>1</v>
      </c>
      <c r="CY192" s="328">
        <v>537</v>
      </c>
      <c r="CZ192" s="322" t="s">
        <v>934</v>
      </c>
      <c r="DA192" s="323">
        <v>0</v>
      </c>
      <c r="DB192" s="323">
        <v>0</v>
      </c>
      <c r="DC192" s="323">
        <v>0</v>
      </c>
      <c r="DD192" s="323">
        <v>0</v>
      </c>
      <c r="DE192" s="323">
        <v>0</v>
      </c>
      <c r="DF192" s="323">
        <v>0</v>
      </c>
      <c r="DG192" s="323">
        <v>0</v>
      </c>
      <c r="DH192" s="323">
        <v>0</v>
      </c>
      <c r="DI192" s="323">
        <v>0</v>
      </c>
      <c r="DJ192" s="337">
        <v>0</v>
      </c>
      <c r="DK192" s="644">
        <v>77354.4</v>
      </c>
      <c r="DL192" s="614">
        <v>15106</v>
      </c>
      <c r="DM192" s="614">
        <v>26363</v>
      </c>
      <c r="DN192" s="614">
        <v>25846</v>
      </c>
      <c r="DO192" s="614">
        <v>11470</v>
      </c>
      <c r="DP192" s="614">
        <v>9331</v>
      </c>
      <c r="DQ192" s="614">
        <v>4826</v>
      </c>
      <c r="DR192" s="614">
        <v>2605</v>
      </c>
      <c r="DS192" s="615">
        <v>129</v>
      </c>
      <c r="DT192" s="607">
        <f t="shared" si="2"/>
        <v>95676</v>
      </c>
      <c r="DU192" s="342"/>
      <c r="EC192" s="646"/>
      <c r="EF192" s="126"/>
      <c r="EG192" s="124"/>
    </row>
    <row r="193" spans="1:137" ht="15">
      <c r="A193" s="22">
        <v>185</v>
      </c>
      <c r="B193" s="23" t="s">
        <v>502</v>
      </c>
      <c r="C193" s="24" t="s">
        <v>503</v>
      </c>
      <c r="D193" s="613"/>
      <c r="E193" s="628">
        <v>1593</v>
      </c>
      <c r="F193" s="628">
        <v>2336</v>
      </c>
      <c r="G193" s="628">
        <v>3507</v>
      </c>
      <c r="H193" s="628">
        <v>7394</v>
      </c>
      <c r="I193" s="628">
        <v>6792</v>
      </c>
      <c r="J193" s="628">
        <v>5924</v>
      </c>
      <c r="K193" s="628">
        <v>7273</v>
      </c>
      <c r="L193" s="628">
        <v>914</v>
      </c>
      <c r="M193" s="627">
        <v>35733</v>
      </c>
      <c r="N193" s="322"/>
      <c r="O193" s="323">
        <v>121</v>
      </c>
      <c r="P193" s="323">
        <v>115</v>
      </c>
      <c r="Q193" s="323">
        <v>132</v>
      </c>
      <c r="R193" s="323">
        <v>137</v>
      </c>
      <c r="S193" s="323">
        <v>162</v>
      </c>
      <c r="T193" s="323">
        <v>137</v>
      </c>
      <c r="U193" s="323">
        <v>92</v>
      </c>
      <c r="V193" s="323">
        <v>17</v>
      </c>
      <c r="W193" s="323">
        <v>913</v>
      </c>
      <c r="X193" s="329" t="s">
        <v>934</v>
      </c>
      <c r="Y193" s="330">
        <v>1</v>
      </c>
      <c r="Z193" s="330">
        <v>6</v>
      </c>
      <c r="AA193" s="330">
        <v>1</v>
      </c>
      <c r="AB193" s="330">
        <v>1</v>
      </c>
      <c r="AC193" s="330">
        <v>0</v>
      </c>
      <c r="AD193" s="330">
        <v>0</v>
      </c>
      <c r="AE193" s="330">
        <v>5</v>
      </c>
      <c r="AF193" s="330">
        <v>0</v>
      </c>
      <c r="AG193" s="328">
        <v>14</v>
      </c>
      <c r="AH193" s="329" t="s">
        <v>934</v>
      </c>
      <c r="AI193" s="184">
        <v>4</v>
      </c>
      <c r="AJ193" s="184">
        <v>8</v>
      </c>
      <c r="AK193" s="184">
        <v>9</v>
      </c>
      <c r="AL193" s="184">
        <v>29</v>
      </c>
      <c r="AM193" s="184">
        <v>40</v>
      </c>
      <c r="AN193" s="184">
        <v>55</v>
      </c>
      <c r="AO193" s="184">
        <v>51</v>
      </c>
      <c r="AP193" s="184">
        <v>12</v>
      </c>
      <c r="AQ193" s="336">
        <v>208</v>
      </c>
      <c r="AR193" s="323">
        <v>2</v>
      </c>
      <c r="AS193" s="323">
        <v>896</v>
      </c>
      <c r="AT193" s="323">
        <v>1480</v>
      </c>
      <c r="AU193" s="323">
        <v>1784</v>
      </c>
      <c r="AV193" s="323">
        <v>2534</v>
      </c>
      <c r="AW193" s="323">
        <v>1877</v>
      </c>
      <c r="AX193" s="323">
        <v>1398</v>
      </c>
      <c r="AY193" s="323">
        <v>1079</v>
      </c>
      <c r="AZ193" s="323">
        <v>78</v>
      </c>
      <c r="BA193" s="323">
        <v>11128</v>
      </c>
      <c r="BB193" s="331">
        <v>0</v>
      </c>
      <c r="BC193" s="330">
        <v>4</v>
      </c>
      <c r="BD193" s="330">
        <v>5</v>
      </c>
      <c r="BE193" s="330">
        <v>14</v>
      </c>
      <c r="BF193" s="330">
        <v>35</v>
      </c>
      <c r="BG193" s="330">
        <v>29</v>
      </c>
      <c r="BH193" s="330">
        <v>30</v>
      </c>
      <c r="BI193" s="330">
        <v>37</v>
      </c>
      <c r="BJ193" s="330">
        <v>5</v>
      </c>
      <c r="BK193" s="328">
        <v>159</v>
      </c>
      <c r="BL193" s="323">
        <v>0</v>
      </c>
      <c r="BM193" s="323">
        <v>0</v>
      </c>
      <c r="BN193" s="323">
        <v>1</v>
      </c>
      <c r="BO193" s="323">
        <v>3</v>
      </c>
      <c r="BP193" s="323">
        <v>3</v>
      </c>
      <c r="BQ193" s="323">
        <v>13</v>
      </c>
      <c r="BR193" s="323">
        <v>9</v>
      </c>
      <c r="BS193" s="323">
        <v>28</v>
      </c>
      <c r="BT193" s="323">
        <v>8</v>
      </c>
      <c r="BU193" s="323">
        <v>65</v>
      </c>
      <c r="BV193" s="329" t="s">
        <v>934</v>
      </c>
      <c r="BW193" s="330">
        <v>9</v>
      </c>
      <c r="BX193" s="330">
        <v>32</v>
      </c>
      <c r="BY193" s="330">
        <v>66</v>
      </c>
      <c r="BZ193" s="330">
        <v>69</v>
      </c>
      <c r="CA193" s="330">
        <v>62</v>
      </c>
      <c r="CB193" s="330">
        <v>46</v>
      </c>
      <c r="CC193" s="330">
        <v>43</v>
      </c>
      <c r="CD193" s="330">
        <v>20</v>
      </c>
      <c r="CE193" s="328">
        <v>347</v>
      </c>
      <c r="CF193" s="322" t="s">
        <v>934</v>
      </c>
      <c r="CG193" s="323">
        <v>0</v>
      </c>
      <c r="CH193" s="323">
        <v>0</v>
      </c>
      <c r="CI193" s="323">
        <v>0</v>
      </c>
      <c r="CJ193" s="323">
        <v>0</v>
      </c>
      <c r="CK193" s="323">
        <v>0</v>
      </c>
      <c r="CL193" s="323">
        <v>0</v>
      </c>
      <c r="CM193" s="323">
        <v>0</v>
      </c>
      <c r="CN193" s="323">
        <v>0</v>
      </c>
      <c r="CO193" s="323">
        <v>0</v>
      </c>
      <c r="CP193" s="329" t="s">
        <v>934</v>
      </c>
      <c r="CQ193" s="330">
        <v>33</v>
      </c>
      <c r="CR193" s="330">
        <v>23</v>
      </c>
      <c r="CS193" s="330">
        <v>41</v>
      </c>
      <c r="CT193" s="330">
        <v>52</v>
      </c>
      <c r="CU193" s="330">
        <v>41</v>
      </c>
      <c r="CV193" s="330">
        <v>21</v>
      </c>
      <c r="CW193" s="330">
        <v>26</v>
      </c>
      <c r="CX193" s="330">
        <v>2</v>
      </c>
      <c r="CY193" s="328">
        <v>239</v>
      </c>
      <c r="CZ193" s="322" t="s">
        <v>934</v>
      </c>
      <c r="DA193" s="323">
        <v>0</v>
      </c>
      <c r="DB193" s="323">
        <v>0</v>
      </c>
      <c r="DC193" s="323">
        <v>0</v>
      </c>
      <c r="DD193" s="323">
        <v>0</v>
      </c>
      <c r="DE193" s="323">
        <v>0</v>
      </c>
      <c r="DF193" s="323">
        <v>0</v>
      </c>
      <c r="DG193" s="323">
        <v>0</v>
      </c>
      <c r="DH193" s="323">
        <v>0</v>
      </c>
      <c r="DI193" s="323">
        <v>0</v>
      </c>
      <c r="DJ193" s="337">
        <v>82.1</v>
      </c>
      <c r="DK193" s="644">
        <v>39874.3</v>
      </c>
      <c r="DL193" s="614">
        <v>1599</v>
      </c>
      <c r="DM193" s="614">
        <v>2342</v>
      </c>
      <c r="DN193" s="614">
        <v>3607</v>
      </c>
      <c r="DO193" s="614">
        <v>7702</v>
      </c>
      <c r="DP193" s="614">
        <v>6844</v>
      </c>
      <c r="DQ193" s="614">
        <v>5966</v>
      </c>
      <c r="DR193" s="614">
        <v>7252</v>
      </c>
      <c r="DS193" s="615">
        <v>923</v>
      </c>
      <c r="DT193" s="607">
        <f t="shared" si="2"/>
        <v>36235</v>
      </c>
      <c r="DU193" s="342"/>
      <c r="EC193" s="646"/>
      <c r="EF193" s="126"/>
      <c r="EG193" s="124"/>
    </row>
    <row r="194" spans="1:137" ht="15">
      <c r="A194" s="22">
        <v>186</v>
      </c>
      <c r="B194" s="23" t="s">
        <v>504</v>
      </c>
      <c r="C194" s="24" t="s">
        <v>505</v>
      </c>
      <c r="D194" s="613"/>
      <c r="E194" s="628">
        <v>6101</v>
      </c>
      <c r="F194" s="628">
        <v>11255</v>
      </c>
      <c r="G194" s="628">
        <v>17073</v>
      </c>
      <c r="H194" s="628">
        <v>18851</v>
      </c>
      <c r="I194" s="628">
        <v>12984</v>
      </c>
      <c r="J194" s="628">
        <v>6516</v>
      </c>
      <c r="K194" s="628">
        <v>4364</v>
      </c>
      <c r="L194" s="628">
        <v>565</v>
      </c>
      <c r="M194" s="627">
        <v>77709</v>
      </c>
      <c r="N194" s="322"/>
      <c r="O194" s="323">
        <v>369</v>
      </c>
      <c r="P194" s="323">
        <v>321</v>
      </c>
      <c r="Q194" s="323">
        <v>315</v>
      </c>
      <c r="R194" s="323">
        <v>407</v>
      </c>
      <c r="S194" s="323">
        <v>207</v>
      </c>
      <c r="T194" s="323">
        <v>109</v>
      </c>
      <c r="U194" s="323">
        <v>60</v>
      </c>
      <c r="V194" s="323">
        <v>11</v>
      </c>
      <c r="W194" s="323">
        <v>1799</v>
      </c>
      <c r="X194" s="329" t="s">
        <v>934</v>
      </c>
      <c r="Y194" s="330">
        <v>1</v>
      </c>
      <c r="Z194" s="330">
        <v>0</v>
      </c>
      <c r="AA194" s="330">
        <v>2</v>
      </c>
      <c r="AB194" s="330">
        <v>2</v>
      </c>
      <c r="AC194" s="330">
        <v>2</v>
      </c>
      <c r="AD194" s="330">
        <v>0</v>
      </c>
      <c r="AE194" s="330">
        <v>2</v>
      </c>
      <c r="AF194" s="330">
        <v>0</v>
      </c>
      <c r="AG194" s="328">
        <v>9</v>
      </c>
      <c r="AH194" s="329" t="s">
        <v>934</v>
      </c>
      <c r="AI194" s="184">
        <v>14</v>
      </c>
      <c r="AJ194" s="184">
        <v>57</v>
      </c>
      <c r="AK194" s="184">
        <v>125</v>
      </c>
      <c r="AL194" s="184">
        <v>161</v>
      </c>
      <c r="AM194" s="184">
        <v>115</v>
      </c>
      <c r="AN194" s="184">
        <v>80</v>
      </c>
      <c r="AO194" s="184">
        <v>77</v>
      </c>
      <c r="AP194" s="184">
        <v>21</v>
      </c>
      <c r="AQ194" s="336">
        <v>650</v>
      </c>
      <c r="AR194" s="323">
        <v>2</v>
      </c>
      <c r="AS194" s="323">
        <v>3314</v>
      </c>
      <c r="AT194" s="323">
        <v>4894</v>
      </c>
      <c r="AU194" s="323">
        <v>5557</v>
      </c>
      <c r="AV194" s="323">
        <v>5298</v>
      </c>
      <c r="AW194" s="323">
        <v>2782</v>
      </c>
      <c r="AX194" s="323">
        <v>1206</v>
      </c>
      <c r="AY194" s="323">
        <v>617</v>
      </c>
      <c r="AZ194" s="323">
        <v>60</v>
      </c>
      <c r="BA194" s="323">
        <v>23730</v>
      </c>
      <c r="BB194" s="331">
        <v>0</v>
      </c>
      <c r="BC194" s="330">
        <v>24</v>
      </c>
      <c r="BD194" s="330">
        <v>68</v>
      </c>
      <c r="BE194" s="330">
        <v>151</v>
      </c>
      <c r="BF194" s="330">
        <v>129</v>
      </c>
      <c r="BG194" s="330">
        <v>80</v>
      </c>
      <c r="BH194" s="330">
        <v>40</v>
      </c>
      <c r="BI194" s="330">
        <v>27</v>
      </c>
      <c r="BJ194" s="330">
        <v>1</v>
      </c>
      <c r="BK194" s="328">
        <v>520</v>
      </c>
      <c r="BL194" s="323">
        <v>0</v>
      </c>
      <c r="BM194" s="323">
        <v>1</v>
      </c>
      <c r="BN194" s="323">
        <v>5</v>
      </c>
      <c r="BO194" s="323">
        <v>14</v>
      </c>
      <c r="BP194" s="323">
        <v>15</v>
      </c>
      <c r="BQ194" s="323">
        <v>16</v>
      </c>
      <c r="BR194" s="323">
        <v>37</v>
      </c>
      <c r="BS194" s="323">
        <v>25</v>
      </c>
      <c r="BT194" s="323">
        <v>4</v>
      </c>
      <c r="BU194" s="323">
        <v>117</v>
      </c>
      <c r="BV194" s="329" t="s">
        <v>934</v>
      </c>
      <c r="BW194" s="330">
        <v>285</v>
      </c>
      <c r="BX194" s="330">
        <v>81</v>
      </c>
      <c r="BY194" s="330">
        <v>176</v>
      </c>
      <c r="BZ194" s="330">
        <v>357</v>
      </c>
      <c r="CA194" s="330">
        <v>330</v>
      </c>
      <c r="CB194" s="330">
        <v>204</v>
      </c>
      <c r="CC194" s="330">
        <v>233</v>
      </c>
      <c r="CD194" s="330">
        <v>37</v>
      </c>
      <c r="CE194" s="328">
        <v>1703</v>
      </c>
      <c r="CF194" s="322" t="s">
        <v>934</v>
      </c>
      <c r="CG194" s="323">
        <v>2</v>
      </c>
      <c r="CH194" s="323">
        <v>3</v>
      </c>
      <c r="CI194" s="323">
        <v>0</v>
      </c>
      <c r="CJ194" s="323">
        <v>4</v>
      </c>
      <c r="CK194" s="323">
        <v>4</v>
      </c>
      <c r="CL194" s="323">
        <v>2</v>
      </c>
      <c r="CM194" s="323">
        <v>1</v>
      </c>
      <c r="CN194" s="323">
        <v>0</v>
      </c>
      <c r="CO194" s="323">
        <v>16</v>
      </c>
      <c r="CP194" s="329" t="s">
        <v>934</v>
      </c>
      <c r="CQ194" s="330">
        <v>66</v>
      </c>
      <c r="CR194" s="330">
        <v>62</v>
      </c>
      <c r="CS194" s="330">
        <v>83</v>
      </c>
      <c r="CT194" s="330">
        <v>94</v>
      </c>
      <c r="CU194" s="330">
        <v>62</v>
      </c>
      <c r="CV194" s="330">
        <v>35</v>
      </c>
      <c r="CW194" s="330">
        <v>30</v>
      </c>
      <c r="CX194" s="330">
        <v>2</v>
      </c>
      <c r="CY194" s="328">
        <v>434</v>
      </c>
      <c r="CZ194" s="322" t="s">
        <v>934</v>
      </c>
      <c r="DA194" s="323">
        <v>0</v>
      </c>
      <c r="DB194" s="323">
        <v>0</v>
      </c>
      <c r="DC194" s="323">
        <v>0</v>
      </c>
      <c r="DD194" s="323">
        <v>0</v>
      </c>
      <c r="DE194" s="323">
        <v>0</v>
      </c>
      <c r="DF194" s="323">
        <v>0</v>
      </c>
      <c r="DG194" s="323">
        <v>0</v>
      </c>
      <c r="DH194" s="323">
        <v>0</v>
      </c>
      <c r="DI194" s="323">
        <v>0</v>
      </c>
      <c r="DJ194" s="337">
        <v>149.7</v>
      </c>
      <c r="DK194" s="644">
        <v>72031</v>
      </c>
      <c r="DL194" s="614">
        <v>6201</v>
      </c>
      <c r="DM194" s="614">
        <v>11382</v>
      </c>
      <c r="DN194" s="614">
        <v>17172</v>
      </c>
      <c r="DO194" s="614">
        <v>18955</v>
      </c>
      <c r="DP194" s="614">
        <v>13003</v>
      </c>
      <c r="DQ194" s="614">
        <v>6532</v>
      </c>
      <c r="DR194" s="614">
        <v>4345</v>
      </c>
      <c r="DS194" s="615">
        <v>564</v>
      </c>
      <c r="DT194" s="607">
        <f t="shared" si="2"/>
        <v>78154</v>
      </c>
      <c r="DU194" s="342"/>
      <c r="EC194" s="646"/>
      <c r="EF194" s="123"/>
      <c r="EG194" s="124"/>
    </row>
    <row r="195" spans="1:137" ht="15">
      <c r="A195" s="22">
        <v>187</v>
      </c>
      <c r="B195" s="23" t="s">
        <v>506</v>
      </c>
      <c r="C195" s="24" t="s">
        <v>507</v>
      </c>
      <c r="D195" s="613"/>
      <c r="E195" s="630">
        <v>21131</v>
      </c>
      <c r="F195" s="630">
        <v>7549</v>
      </c>
      <c r="G195" s="630">
        <v>7896</v>
      </c>
      <c r="H195" s="630">
        <v>5307</v>
      </c>
      <c r="I195" s="630">
        <v>3632</v>
      </c>
      <c r="J195" s="630">
        <v>2353</v>
      </c>
      <c r="K195" s="630">
        <v>1312</v>
      </c>
      <c r="L195" s="630">
        <v>114</v>
      </c>
      <c r="M195" s="627">
        <v>49294</v>
      </c>
      <c r="N195" s="322"/>
      <c r="O195" s="323">
        <v>715</v>
      </c>
      <c r="P195" s="323">
        <v>178</v>
      </c>
      <c r="Q195" s="323">
        <v>166</v>
      </c>
      <c r="R195" s="323">
        <v>75</v>
      </c>
      <c r="S195" s="323">
        <v>61</v>
      </c>
      <c r="T195" s="323">
        <v>27</v>
      </c>
      <c r="U195" s="323">
        <v>17</v>
      </c>
      <c r="V195" s="323">
        <v>3</v>
      </c>
      <c r="W195" s="323">
        <v>1242</v>
      </c>
      <c r="X195" s="329" t="s">
        <v>934</v>
      </c>
      <c r="Y195" s="330">
        <v>0</v>
      </c>
      <c r="Z195" s="330">
        <v>0</v>
      </c>
      <c r="AA195" s="330">
        <v>0</v>
      </c>
      <c r="AB195" s="330">
        <v>0</v>
      </c>
      <c r="AC195" s="330">
        <v>0</v>
      </c>
      <c r="AD195" s="330">
        <v>0</v>
      </c>
      <c r="AE195" s="330">
        <v>0</v>
      </c>
      <c r="AF195" s="330">
        <v>0</v>
      </c>
      <c r="AG195" s="328">
        <v>0</v>
      </c>
      <c r="AH195" s="329" t="s">
        <v>934</v>
      </c>
      <c r="AI195" s="184">
        <v>64</v>
      </c>
      <c r="AJ195" s="184">
        <v>49</v>
      </c>
      <c r="AK195" s="184">
        <v>78</v>
      </c>
      <c r="AL195" s="184">
        <v>40</v>
      </c>
      <c r="AM195" s="184">
        <v>41</v>
      </c>
      <c r="AN195" s="184">
        <v>19</v>
      </c>
      <c r="AO195" s="184">
        <v>19</v>
      </c>
      <c r="AP195" s="184">
        <v>10</v>
      </c>
      <c r="AQ195" s="336">
        <v>320</v>
      </c>
      <c r="AR195" s="323">
        <v>6</v>
      </c>
      <c r="AS195" s="323">
        <v>8708</v>
      </c>
      <c r="AT195" s="323">
        <v>2459</v>
      </c>
      <c r="AU195" s="323">
        <v>2088</v>
      </c>
      <c r="AV195" s="323">
        <v>1042</v>
      </c>
      <c r="AW195" s="323">
        <v>583</v>
      </c>
      <c r="AX195" s="323">
        <v>277</v>
      </c>
      <c r="AY195" s="323">
        <v>139</v>
      </c>
      <c r="AZ195" s="323">
        <v>10</v>
      </c>
      <c r="BA195" s="323">
        <v>15312</v>
      </c>
      <c r="BB195" s="331">
        <v>2</v>
      </c>
      <c r="BC195" s="330">
        <v>106</v>
      </c>
      <c r="BD195" s="330">
        <v>44</v>
      </c>
      <c r="BE195" s="330">
        <v>42</v>
      </c>
      <c r="BF195" s="330">
        <v>33</v>
      </c>
      <c r="BG195" s="330">
        <v>27</v>
      </c>
      <c r="BH195" s="330">
        <v>16</v>
      </c>
      <c r="BI195" s="330">
        <v>6</v>
      </c>
      <c r="BJ195" s="330">
        <v>0</v>
      </c>
      <c r="BK195" s="328">
        <v>276</v>
      </c>
      <c r="BL195" s="323">
        <v>2</v>
      </c>
      <c r="BM195" s="323">
        <v>16</v>
      </c>
      <c r="BN195" s="323">
        <v>3</v>
      </c>
      <c r="BO195" s="323">
        <v>9</v>
      </c>
      <c r="BP195" s="323">
        <v>5</v>
      </c>
      <c r="BQ195" s="323">
        <v>7</v>
      </c>
      <c r="BR195" s="323">
        <v>11</v>
      </c>
      <c r="BS195" s="323">
        <v>21</v>
      </c>
      <c r="BT195" s="323">
        <v>4</v>
      </c>
      <c r="BU195" s="323">
        <v>78</v>
      </c>
      <c r="BV195" s="329" t="s">
        <v>934</v>
      </c>
      <c r="BW195" s="330">
        <v>98</v>
      </c>
      <c r="BX195" s="330">
        <v>44</v>
      </c>
      <c r="BY195" s="330">
        <v>48</v>
      </c>
      <c r="BZ195" s="330">
        <v>37</v>
      </c>
      <c r="CA195" s="330">
        <v>11</v>
      </c>
      <c r="CB195" s="330">
        <v>9</v>
      </c>
      <c r="CC195" s="330">
        <v>4</v>
      </c>
      <c r="CD195" s="330">
        <v>2</v>
      </c>
      <c r="CE195" s="328">
        <v>253</v>
      </c>
      <c r="CF195" s="322" t="s">
        <v>934</v>
      </c>
      <c r="CG195" s="323">
        <v>459</v>
      </c>
      <c r="CH195" s="323">
        <v>131</v>
      </c>
      <c r="CI195" s="323">
        <v>131</v>
      </c>
      <c r="CJ195" s="323">
        <v>95</v>
      </c>
      <c r="CK195" s="323">
        <v>60</v>
      </c>
      <c r="CL195" s="323">
        <v>30</v>
      </c>
      <c r="CM195" s="323">
        <v>22</v>
      </c>
      <c r="CN195" s="323">
        <v>4</v>
      </c>
      <c r="CO195" s="323">
        <v>932</v>
      </c>
      <c r="CP195" s="329" t="s">
        <v>934</v>
      </c>
      <c r="CQ195" s="330">
        <v>0</v>
      </c>
      <c r="CR195" s="330">
        <v>0</v>
      </c>
      <c r="CS195" s="330">
        <v>0</v>
      </c>
      <c r="CT195" s="330">
        <v>0</v>
      </c>
      <c r="CU195" s="330">
        <v>0</v>
      </c>
      <c r="CV195" s="330">
        <v>0</v>
      </c>
      <c r="CW195" s="330">
        <v>0</v>
      </c>
      <c r="CX195" s="330">
        <v>0</v>
      </c>
      <c r="CY195" s="328">
        <v>0</v>
      </c>
      <c r="CZ195" s="322" t="s">
        <v>934</v>
      </c>
      <c r="DA195" s="323">
        <v>0</v>
      </c>
      <c r="DB195" s="323">
        <v>0</v>
      </c>
      <c r="DC195" s="323">
        <v>0</v>
      </c>
      <c r="DD195" s="323">
        <v>0</v>
      </c>
      <c r="DE195" s="323">
        <v>0</v>
      </c>
      <c r="DF195" s="323">
        <v>0</v>
      </c>
      <c r="DG195" s="323">
        <v>0</v>
      </c>
      <c r="DH195" s="323">
        <v>0</v>
      </c>
      <c r="DI195" s="323">
        <v>0</v>
      </c>
      <c r="DJ195" s="337">
        <v>0</v>
      </c>
      <c r="DK195" s="644">
        <v>37902.7</v>
      </c>
      <c r="DL195" s="614">
        <v>21346</v>
      </c>
      <c r="DM195" s="614">
        <v>7633</v>
      </c>
      <c r="DN195" s="614">
        <v>7965</v>
      </c>
      <c r="DO195" s="614">
        <v>5409</v>
      </c>
      <c r="DP195" s="614">
        <v>3709</v>
      </c>
      <c r="DQ195" s="614">
        <v>2403</v>
      </c>
      <c r="DR195" s="614">
        <v>1322</v>
      </c>
      <c r="DS195" s="615">
        <v>117</v>
      </c>
      <c r="DT195" s="607">
        <f t="shared" si="2"/>
        <v>49904</v>
      </c>
      <c r="DU195" s="342"/>
      <c r="EC195" s="646"/>
      <c r="EF195" s="127"/>
      <c r="EG195" s="124"/>
    </row>
    <row r="196" spans="1:137" ht="15">
      <c r="A196" s="22">
        <v>188</v>
      </c>
      <c r="B196" s="23" t="s">
        <v>508</v>
      </c>
      <c r="C196" s="24" t="s">
        <v>509</v>
      </c>
      <c r="D196" s="613"/>
      <c r="E196" s="629">
        <v>71849</v>
      </c>
      <c r="F196" s="629">
        <v>17514</v>
      </c>
      <c r="G196" s="629">
        <v>17134</v>
      </c>
      <c r="H196" s="629">
        <v>7774</v>
      </c>
      <c r="I196" s="629">
        <v>3866</v>
      </c>
      <c r="J196" s="629">
        <v>1799</v>
      </c>
      <c r="K196" s="629">
        <v>1379</v>
      </c>
      <c r="L196" s="629">
        <v>115</v>
      </c>
      <c r="M196" s="627">
        <v>121430</v>
      </c>
      <c r="N196" s="322"/>
      <c r="O196" s="323">
        <v>5581</v>
      </c>
      <c r="P196" s="323">
        <v>2183</v>
      </c>
      <c r="Q196" s="323">
        <v>1246</v>
      </c>
      <c r="R196" s="323">
        <v>487</v>
      </c>
      <c r="S196" s="323">
        <v>226</v>
      </c>
      <c r="T196" s="323">
        <v>53</v>
      </c>
      <c r="U196" s="323">
        <v>24</v>
      </c>
      <c r="V196" s="323">
        <v>14</v>
      </c>
      <c r="W196" s="323">
        <v>9814</v>
      </c>
      <c r="X196" s="329" t="s">
        <v>934</v>
      </c>
      <c r="Y196" s="330">
        <v>0</v>
      </c>
      <c r="Z196" s="330">
        <v>0</v>
      </c>
      <c r="AA196" s="330">
        <v>0</v>
      </c>
      <c r="AB196" s="330">
        <v>0</v>
      </c>
      <c r="AC196" s="330">
        <v>0</v>
      </c>
      <c r="AD196" s="330">
        <v>0</v>
      </c>
      <c r="AE196" s="330">
        <v>0</v>
      </c>
      <c r="AF196" s="330">
        <v>0</v>
      </c>
      <c r="AG196" s="328">
        <v>0</v>
      </c>
      <c r="AH196" s="329" t="s">
        <v>934</v>
      </c>
      <c r="AI196" s="184">
        <v>282</v>
      </c>
      <c r="AJ196" s="184">
        <v>68</v>
      </c>
      <c r="AK196" s="184">
        <v>88</v>
      </c>
      <c r="AL196" s="184">
        <v>52</v>
      </c>
      <c r="AM196" s="184">
        <v>23</v>
      </c>
      <c r="AN196" s="184">
        <v>10</v>
      </c>
      <c r="AO196" s="184">
        <v>30</v>
      </c>
      <c r="AP196" s="184">
        <v>18</v>
      </c>
      <c r="AQ196" s="336">
        <v>571</v>
      </c>
      <c r="AR196" s="323">
        <v>77</v>
      </c>
      <c r="AS196" s="323">
        <v>34797</v>
      </c>
      <c r="AT196" s="323">
        <v>5452</v>
      </c>
      <c r="AU196" s="323">
        <v>4494</v>
      </c>
      <c r="AV196" s="323">
        <v>1860</v>
      </c>
      <c r="AW196" s="323">
        <v>755</v>
      </c>
      <c r="AX196" s="323">
        <v>282</v>
      </c>
      <c r="AY196" s="323">
        <v>193</v>
      </c>
      <c r="AZ196" s="323">
        <v>7</v>
      </c>
      <c r="BA196" s="323">
        <v>47917</v>
      </c>
      <c r="BB196" s="331">
        <v>13</v>
      </c>
      <c r="BC196" s="330">
        <v>954</v>
      </c>
      <c r="BD196" s="330">
        <v>284</v>
      </c>
      <c r="BE196" s="330">
        <v>275</v>
      </c>
      <c r="BF196" s="330">
        <v>105</v>
      </c>
      <c r="BG196" s="330">
        <v>39</v>
      </c>
      <c r="BH196" s="330">
        <v>20</v>
      </c>
      <c r="BI196" s="330">
        <v>10</v>
      </c>
      <c r="BJ196" s="330">
        <v>0</v>
      </c>
      <c r="BK196" s="328">
        <v>1700</v>
      </c>
      <c r="BL196" s="323">
        <v>3</v>
      </c>
      <c r="BM196" s="323">
        <v>20</v>
      </c>
      <c r="BN196" s="323">
        <v>3</v>
      </c>
      <c r="BO196" s="323">
        <v>3</v>
      </c>
      <c r="BP196" s="323">
        <v>0</v>
      </c>
      <c r="BQ196" s="323">
        <v>1</v>
      </c>
      <c r="BR196" s="323">
        <v>0</v>
      </c>
      <c r="BS196" s="323">
        <v>0</v>
      </c>
      <c r="BT196" s="323">
        <v>0</v>
      </c>
      <c r="BU196" s="323">
        <v>30</v>
      </c>
      <c r="BV196" s="329" t="s">
        <v>934</v>
      </c>
      <c r="BW196" s="330">
        <v>664</v>
      </c>
      <c r="BX196" s="330">
        <v>224</v>
      </c>
      <c r="BY196" s="330">
        <v>242</v>
      </c>
      <c r="BZ196" s="330">
        <v>148</v>
      </c>
      <c r="CA196" s="330">
        <v>63</v>
      </c>
      <c r="CB196" s="330">
        <v>13</v>
      </c>
      <c r="CC196" s="330">
        <v>11</v>
      </c>
      <c r="CD196" s="330">
        <v>0</v>
      </c>
      <c r="CE196" s="328">
        <v>1365</v>
      </c>
      <c r="CF196" s="322" t="s">
        <v>934</v>
      </c>
      <c r="CG196" s="323">
        <v>1590</v>
      </c>
      <c r="CH196" s="323">
        <v>239</v>
      </c>
      <c r="CI196" s="323">
        <v>235</v>
      </c>
      <c r="CJ196" s="323">
        <v>142</v>
      </c>
      <c r="CK196" s="323">
        <v>81</v>
      </c>
      <c r="CL196" s="323">
        <v>60</v>
      </c>
      <c r="CM196" s="323">
        <v>60</v>
      </c>
      <c r="CN196" s="323">
        <v>18</v>
      </c>
      <c r="CO196" s="323">
        <v>2425</v>
      </c>
      <c r="CP196" s="329" t="s">
        <v>934</v>
      </c>
      <c r="CQ196" s="330">
        <v>0</v>
      </c>
      <c r="CR196" s="330">
        <v>0</v>
      </c>
      <c r="CS196" s="330">
        <v>0</v>
      </c>
      <c r="CT196" s="330">
        <v>0</v>
      </c>
      <c r="CU196" s="330">
        <v>0</v>
      </c>
      <c r="CV196" s="330">
        <v>0</v>
      </c>
      <c r="CW196" s="330">
        <v>0</v>
      </c>
      <c r="CX196" s="330">
        <v>0</v>
      </c>
      <c r="CY196" s="328">
        <v>0</v>
      </c>
      <c r="CZ196" s="322" t="s">
        <v>934</v>
      </c>
      <c r="DA196" s="323">
        <v>0</v>
      </c>
      <c r="DB196" s="323">
        <v>0</v>
      </c>
      <c r="DC196" s="323">
        <v>0</v>
      </c>
      <c r="DD196" s="323">
        <v>0</v>
      </c>
      <c r="DE196" s="323">
        <v>0</v>
      </c>
      <c r="DF196" s="323">
        <v>0</v>
      </c>
      <c r="DG196" s="323">
        <v>0</v>
      </c>
      <c r="DH196" s="323">
        <v>0</v>
      </c>
      <c r="DI196" s="323">
        <v>0</v>
      </c>
      <c r="DJ196" s="337">
        <v>49.7</v>
      </c>
      <c r="DK196" s="644">
        <v>76325</v>
      </c>
      <c r="DL196" s="616">
        <v>71944</v>
      </c>
      <c r="DM196" s="616">
        <v>17675</v>
      </c>
      <c r="DN196" s="616">
        <v>17341</v>
      </c>
      <c r="DO196" s="616">
        <v>7972</v>
      </c>
      <c r="DP196" s="616">
        <v>3923</v>
      </c>
      <c r="DQ196" s="616">
        <v>1824</v>
      </c>
      <c r="DR196" s="616">
        <v>1433</v>
      </c>
      <c r="DS196" s="617">
        <v>117</v>
      </c>
      <c r="DT196" s="607">
        <f t="shared" si="2"/>
        <v>122229</v>
      </c>
      <c r="DU196" s="342"/>
      <c r="EC196" s="646"/>
      <c r="EF196" s="125"/>
      <c r="EG196" s="124"/>
    </row>
    <row r="197" spans="1:137" ht="15">
      <c r="A197" s="22">
        <v>189</v>
      </c>
      <c r="B197" s="23" t="s">
        <v>510</v>
      </c>
      <c r="C197" s="24" t="s">
        <v>511</v>
      </c>
      <c r="D197" s="613"/>
      <c r="E197" s="628">
        <v>23782</v>
      </c>
      <c r="F197" s="628">
        <v>9511</v>
      </c>
      <c r="G197" s="628">
        <v>10506</v>
      </c>
      <c r="H197" s="628">
        <v>4114</v>
      </c>
      <c r="I197" s="628">
        <v>2514</v>
      </c>
      <c r="J197" s="628">
        <v>1649</v>
      </c>
      <c r="K197" s="628">
        <v>869</v>
      </c>
      <c r="L197" s="628">
        <v>43</v>
      </c>
      <c r="M197" s="627">
        <v>52988</v>
      </c>
      <c r="N197" s="322"/>
      <c r="O197" s="323">
        <v>821</v>
      </c>
      <c r="P197" s="323">
        <v>195</v>
      </c>
      <c r="Q197" s="323">
        <v>197</v>
      </c>
      <c r="R197" s="323">
        <v>78</v>
      </c>
      <c r="S197" s="323">
        <v>68</v>
      </c>
      <c r="T197" s="323">
        <v>42</v>
      </c>
      <c r="U197" s="323">
        <v>28</v>
      </c>
      <c r="V197" s="323">
        <v>10</v>
      </c>
      <c r="W197" s="323">
        <v>1439</v>
      </c>
      <c r="X197" s="329" t="s">
        <v>934</v>
      </c>
      <c r="Y197" s="330">
        <v>0</v>
      </c>
      <c r="Z197" s="330">
        <v>0</v>
      </c>
      <c r="AA197" s="330">
        <v>0</v>
      </c>
      <c r="AB197" s="330">
        <v>0</v>
      </c>
      <c r="AC197" s="330">
        <v>0</v>
      </c>
      <c r="AD197" s="330">
        <v>0</v>
      </c>
      <c r="AE197" s="330">
        <v>0</v>
      </c>
      <c r="AF197" s="330">
        <v>0</v>
      </c>
      <c r="AG197" s="328">
        <v>0</v>
      </c>
      <c r="AH197" s="329" t="s">
        <v>934</v>
      </c>
      <c r="AI197" s="184">
        <v>76</v>
      </c>
      <c r="AJ197" s="184">
        <v>54</v>
      </c>
      <c r="AK197" s="184">
        <v>75</v>
      </c>
      <c r="AL197" s="184">
        <v>42</v>
      </c>
      <c r="AM197" s="184">
        <v>34</v>
      </c>
      <c r="AN197" s="184">
        <v>25</v>
      </c>
      <c r="AO197" s="184">
        <v>16</v>
      </c>
      <c r="AP197" s="184">
        <v>10</v>
      </c>
      <c r="AQ197" s="336">
        <v>332</v>
      </c>
      <c r="AR197" s="323">
        <v>13</v>
      </c>
      <c r="AS197" s="323">
        <v>10692</v>
      </c>
      <c r="AT197" s="323">
        <v>2783</v>
      </c>
      <c r="AU197" s="323">
        <v>2542</v>
      </c>
      <c r="AV197" s="323">
        <v>843</v>
      </c>
      <c r="AW197" s="323">
        <v>440</v>
      </c>
      <c r="AX197" s="323">
        <v>202</v>
      </c>
      <c r="AY197" s="323">
        <v>92</v>
      </c>
      <c r="AZ197" s="323">
        <v>1</v>
      </c>
      <c r="BA197" s="323">
        <v>17608</v>
      </c>
      <c r="BB197" s="331">
        <v>7</v>
      </c>
      <c r="BC197" s="330">
        <v>166</v>
      </c>
      <c r="BD197" s="330">
        <v>60</v>
      </c>
      <c r="BE197" s="330">
        <v>61</v>
      </c>
      <c r="BF197" s="330">
        <v>27</v>
      </c>
      <c r="BG197" s="330">
        <v>13</v>
      </c>
      <c r="BH197" s="330">
        <v>9</v>
      </c>
      <c r="BI197" s="330">
        <v>1</v>
      </c>
      <c r="BJ197" s="330">
        <v>0</v>
      </c>
      <c r="BK197" s="328">
        <v>344</v>
      </c>
      <c r="BL197" s="323">
        <v>0</v>
      </c>
      <c r="BM197" s="323">
        <v>18</v>
      </c>
      <c r="BN197" s="323">
        <v>9</v>
      </c>
      <c r="BO197" s="323">
        <v>10</v>
      </c>
      <c r="BP197" s="323">
        <v>5</v>
      </c>
      <c r="BQ197" s="323">
        <v>5</v>
      </c>
      <c r="BR197" s="323">
        <v>6</v>
      </c>
      <c r="BS197" s="323">
        <v>16</v>
      </c>
      <c r="BT197" s="323">
        <v>4</v>
      </c>
      <c r="BU197" s="323">
        <v>73</v>
      </c>
      <c r="BV197" s="329" t="s">
        <v>934</v>
      </c>
      <c r="BW197" s="330">
        <v>0</v>
      </c>
      <c r="BX197" s="330">
        <v>0</v>
      </c>
      <c r="BY197" s="330">
        <v>0</v>
      </c>
      <c r="BZ197" s="330">
        <v>0</v>
      </c>
      <c r="CA197" s="330">
        <v>0</v>
      </c>
      <c r="CB197" s="330">
        <v>0</v>
      </c>
      <c r="CC197" s="330">
        <v>0</v>
      </c>
      <c r="CD197" s="330">
        <v>0</v>
      </c>
      <c r="CE197" s="328">
        <v>0</v>
      </c>
      <c r="CF197" s="322" t="s">
        <v>934</v>
      </c>
      <c r="CG197" s="323">
        <v>657</v>
      </c>
      <c r="CH197" s="323">
        <v>183</v>
      </c>
      <c r="CI197" s="323">
        <v>148</v>
      </c>
      <c r="CJ197" s="323">
        <v>55</v>
      </c>
      <c r="CK197" s="323">
        <v>26</v>
      </c>
      <c r="CL197" s="323">
        <v>20</v>
      </c>
      <c r="CM197" s="323">
        <v>25</v>
      </c>
      <c r="CN197" s="323">
        <v>1</v>
      </c>
      <c r="CO197" s="323">
        <v>1115</v>
      </c>
      <c r="CP197" s="329" t="s">
        <v>934</v>
      </c>
      <c r="CQ197" s="330">
        <v>0</v>
      </c>
      <c r="CR197" s="330">
        <v>0</v>
      </c>
      <c r="CS197" s="330">
        <v>0</v>
      </c>
      <c r="CT197" s="330">
        <v>0</v>
      </c>
      <c r="CU197" s="330">
        <v>0</v>
      </c>
      <c r="CV197" s="330">
        <v>0</v>
      </c>
      <c r="CW197" s="330">
        <v>0</v>
      </c>
      <c r="CX197" s="330">
        <v>0</v>
      </c>
      <c r="CY197" s="328">
        <v>0</v>
      </c>
      <c r="CZ197" s="322" t="s">
        <v>934</v>
      </c>
      <c r="DA197" s="323">
        <v>0</v>
      </c>
      <c r="DB197" s="323">
        <v>0</v>
      </c>
      <c r="DC197" s="323">
        <v>0</v>
      </c>
      <c r="DD197" s="323">
        <v>0</v>
      </c>
      <c r="DE197" s="323">
        <v>0</v>
      </c>
      <c r="DF197" s="323">
        <v>0</v>
      </c>
      <c r="DG197" s="323">
        <v>0</v>
      </c>
      <c r="DH197" s="323">
        <v>0</v>
      </c>
      <c r="DI197" s="323">
        <v>0</v>
      </c>
      <c r="DJ197" s="337">
        <v>0</v>
      </c>
      <c r="DK197" s="644">
        <v>38591.9</v>
      </c>
      <c r="DL197" s="614">
        <v>23780</v>
      </c>
      <c r="DM197" s="614">
        <v>9579</v>
      </c>
      <c r="DN197" s="614">
        <v>10558</v>
      </c>
      <c r="DO197" s="614">
        <v>4177</v>
      </c>
      <c r="DP197" s="614">
        <v>2532</v>
      </c>
      <c r="DQ197" s="614">
        <v>1651</v>
      </c>
      <c r="DR197" s="614">
        <v>870</v>
      </c>
      <c r="DS197" s="615">
        <v>43</v>
      </c>
      <c r="DT197" s="607">
        <f t="shared" si="2"/>
        <v>53190</v>
      </c>
      <c r="DU197" s="342"/>
      <c r="EC197" s="646"/>
      <c r="EF197" s="123"/>
      <c r="EG197" s="124"/>
    </row>
    <row r="198" spans="1:137" ht="15">
      <c r="A198" s="22">
        <v>190</v>
      </c>
      <c r="B198" s="23" t="s">
        <v>512</v>
      </c>
      <c r="C198" s="24" t="s">
        <v>513</v>
      </c>
      <c r="D198" s="613"/>
      <c r="E198" s="629">
        <v>4927</v>
      </c>
      <c r="F198" s="629">
        <v>30476</v>
      </c>
      <c r="G198" s="629">
        <v>45220</v>
      </c>
      <c r="H198" s="629">
        <v>14917</v>
      </c>
      <c r="I198" s="629">
        <v>2622</v>
      </c>
      <c r="J198" s="629">
        <v>564</v>
      </c>
      <c r="K198" s="629">
        <v>89</v>
      </c>
      <c r="L198" s="629">
        <v>24</v>
      </c>
      <c r="M198" s="637">
        <v>98839</v>
      </c>
      <c r="N198" s="322"/>
      <c r="O198" s="323">
        <v>435</v>
      </c>
      <c r="P198" s="323">
        <v>1693</v>
      </c>
      <c r="Q198" s="323">
        <v>1652</v>
      </c>
      <c r="R198" s="323">
        <v>517</v>
      </c>
      <c r="S198" s="323">
        <v>92</v>
      </c>
      <c r="T198" s="323">
        <v>31</v>
      </c>
      <c r="U198" s="323">
        <v>6</v>
      </c>
      <c r="V198" s="323">
        <v>0</v>
      </c>
      <c r="W198" s="323">
        <v>4426</v>
      </c>
      <c r="X198" s="331">
        <v>0</v>
      </c>
      <c r="Y198" s="330">
        <v>0</v>
      </c>
      <c r="Z198" s="330">
        <v>0</v>
      </c>
      <c r="AA198" s="330">
        <v>0</v>
      </c>
      <c r="AB198" s="330">
        <v>0</v>
      </c>
      <c r="AC198" s="330">
        <v>0</v>
      </c>
      <c r="AD198" s="330">
        <v>0</v>
      </c>
      <c r="AE198" s="330">
        <v>0</v>
      </c>
      <c r="AF198" s="330">
        <v>0</v>
      </c>
      <c r="AG198" s="328">
        <v>0</v>
      </c>
      <c r="AH198" s="331">
        <v>0</v>
      </c>
      <c r="AI198" s="184">
        <v>2</v>
      </c>
      <c r="AJ198" s="184">
        <v>29</v>
      </c>
      <c r="AK198" s="184">
        <v>119</v>
      </c>
      <c r="AL198" s="184">
        <v>73</v>
      </c>
      <c r="AM198" s="184">
        <v>8</v>
      </c>
      <c r="AN198" s="184">
        <v>5</v>
      </c>
      <c r="AO198" s="184">
        <v>0</v>
      </c>
      <c r="AP198" s="184">
        <v>3</v>
      </c>
      <c r="AQ198" s="336">
        <v>239</v>
      </c>
      <c r="AR198" s="323">
        <v>0</v>
      </c>
      <c r="AS198" s="323">
        <v>2953</v>
      </c>
      <c r="AT198" s="323">
        <v>16636</v>
      </c>
      <c r="AU198" s="323">
        <v>14962</v>
      </c>
      <c r="AV198" s="323">
        <v>3726</v>
      </c>
      <c r="AW198" s="323">
        <v>583</v>
      </c>
      <c r="AX198" s="323">
        <v>77</v>
      </c>
      <c r="AY198" s="323">
        <v>9</v>
      </c>
      <c r="AZ198" s="323">
        <v>0</v>
      </c>
      <c r="BA198" s="323">
        <v>38946</v>
      </c>
      <c r="BB198" s="331">
        <v>0</v>
      </c>
      <c r="BC198" s="330">
        <v>25</v>
      </c>
      <c r="BD198" s="330">
        <v>340</v>
      </c>
      <c r="BE198" s="330">
        <v>598</v>
      </c>
      <c r="BF198" s="330">
        <v>230</v>
      </c>
      <c r="BG198" s="330">
        <v>33</v>
      </c>
      <c r="BH198" s="330">
        <v>3</v>
      </c>
      <c r="BI198" s="330">
        <v>1</v>
      </c>
      <c r="BJ198" s="330">
        <v>0</v>
      </c>
      <c r="BK198" s="328">
        <v>1230</v>
      </c>
      <c r="BL198" s="323">
        <v>0</v>
      </c>
      <c r="BM198" s="323">
        <v>1</v>
      </c>
      <c r="BN198" s="323">
        <v>5</v>
      </c>
      <c r="BO198" s="323">
        <v>48</v>
      </c>
      <c r="BP198" s="323">
        <v>21</v>
      </c>
      <c r="BQ198" s="323">
        <v>20</v>
      </c>
      <c r="BR198" s="323">
        <v>3</v>
      </c>
      <c r="BS198" s="323">
        <v>6</v>
      </c>
      <c r="BT198" s="323">
        <v>11</v>
      </c>
      <c r="BU198" s="323">
        <v>115</v>
      </c>
      <c r="BV198" s="331">
        <v>0</v>
      </c>
      <c r="BW198" s="330">
        <v>85</v>
      </c>
      <c r="BX198" s="330">
        <v>429</v>
      </c>
      <c r="BY198" s="330">
        <v>451</v>
      </c>
      <c r="BZ198" s="330">
        <v>139</v>
      </c>
      <c r="CA198" s="330">
        <v>66</v>
      </c>
      <c r="CB198" s="330">
        <v>25</v>
      </c>
      <c r="CC198" s="330">
        <v>5</v>
      </c>
      <c r="CD198" s="330">
        <v>2</v>
      </c>
      <c r="CE198" s="328">
        <v>1202</v>
      </c>
      <c r="CF198" s="323">
        <v>0</v>
      </c>
      <c r="CG198" s="323">
        <v>0</v>
      </c>
      <c r="CH198" s="323">
        <v>0</v>
      </c>
      <c r="CI198" s="323">
        <v>0</v>
      </c>
      <c r="CJ198" s="323">
        <v>0</v>
      </c>
      <c r="CK198" s="323">
        <v>0</v>
      </c>
      <c r="CL198" s="323">
        <v>0</v>
      </c>
      <c r="CM198" s="323">
        <v>0</v>
      </c>
      <c r="CN198" s="323">
        <v>0</v>
      </c>
      <c r="CO198" s="323">
        <v>0</v>
      </c>
      <c r="CP198" s="331">
        <v>0</v>
      </c>
      <c r="CQ198" s="330">
        <v>325</v>
      </c>
      <c r="CR198" s="330">
        <v>804</v>
      </c>
      <c r="CS198" s="330">
        <v>619</v>
      </c>
      <c r="CT198" s="330">
        <v>204</v>
      </c>
      <c r="CU198" s="330">
        <v>65</v>
      </c>
      <c r="CV198" s="330">
        <v>42</v>
      </c>
      <c r="CW198" s="330">
        <v>11</v>
      </c>
      <c r="CX198" s="330">
        <v>0</v>
      </c>
      <c r="CY198" s="328">
        <v>2070</v>
      </c>
      <c r="CZ198" s="323">
        <v>0</v>
      </c>
      <c r="DA198" s="323">
        <v>0</v>
      </c>
      <c r="DB198" s="323">
        <v>0</v>
      </c>
      <c r="DC198" s="323">
        <v>0</v>
      </c>
      <c r="DD198" s="323">
        <v>0</v>
      </c>
      <c r="DE198" s="323">
        <v>0</v>
      </c>
      <c r="DF198" s="323">
        <v>0</v>
      </c>
      <c r="DG198" s="323">
        <v>0</v>
      </c>
      <c r="DH198" s="323">
        <v>0</v>
      </c>
      <c r="DI198" s="323">
        <v>0</v>
      </c>
      <c r="DJ198" s="337">
        <v>0</v>
      </c>
      <c r="DK198" s="644">
        <v>73469</v>
      </c>
      <c r="DL198" s="616">
        <v>4970</v>
      </c>
      <c r="DM198" s="616">
        <v>30760</v>
      </c>
      <c r="DN198" s="616">
        <v>45444</v>
      </c>
      <c r="DO198" s="616">
        <v>15050</v>
      </c>
      <c r="DP198" s="616">
        <v>2734</v>
      </c>
      <c r="DQ198" s="616">
        <v>632</v>
      </c>
      <c r="DR198" s="616">
        <v>101</v>
      </c>
      <c r="DS198" s="617">
        <v>23</v>
      </c>
      <c r="DT198" s="608">
        <f t="shared" si="2"/>
        <v>99714</v>
      </c>
      <c r="DU198" s="342"/>
      <c r="EC198" s="646"/>
      <c r="EF198" s="125"/>
      <c r="EG198" s="128"/>
    </row>
    <row r="199" spans="1:137" ht="15">
      <c r="A199" s="22">
        <v>191</v>
      </c>
      <c r="B199" s="23" t="s">
        <v>514</v>
      </c>
      <c r="C199" s="24" t="s">
        <v>515</v>
      </c>
      <c r="D199" s="613"/>
      <c r="E199" s="632">
        <v>9530</v>
      </c>
      <c r="F199" s="632">
        <v>8535</v>
      </c>
      <c r="G199" s="632">
        <v>7534</v>
      </c>
      <c r="H199" s="632">
        <v>7527</v>
      </c>
      <c r="I199" s="632">
        <v>4827</v>
      </c>
      <c r="J199" s="632">
        <v>1529</v>
      </c>
      <c r="K199" s="632">
        <v>787</v>
      </c>
      <c r="L199" s="632">
        <v>50</v>
      </c>
      <c r="M199" s="627">
        <v>40319</v>
      </c>
      <c r="N199" s="322"/>
      <c r="O199" s="323">
        <v>607</v>
      </c>
      <c r="P199" s="323">
        <v>296</v>
      </c>
      <c r="Q199" s="323">
        <v>211</v>
      </c>
      <c r="R199" s="323">
        <v>186</v>
      </c>
      <c r="S199" s="323">
        <v>86</v>
      </c>
      <c r="T199" s="323">
        <v>24</v>
      </c>
      <c r="U199" s="323">
        <v>15</v>
      </c>
      <c r="V199" s="323">
        <v>2</v>
      </c>
      <c r="W199" s="323">
        <v>1427</v>
      </c>
      <c r="X199" s="329" t="s">
        <v>934</v>
      </c>
      <c r="Y199" s="330">
        <v>5</v>
      </c>
      <c r="Z199" s="330">
        <v>2</v>
      </c>
      <c r="AA199" s="330">
        <v>0</v>
      </c>
      <c r="AB199" s="330">
        <v>0</v>
      </c>
      <c r="AC199" s="330">
        <v>2</v>
      </c>
      <c r="AD199" s="330">
        <v>1</v>
      </c>
      <c r="AE199" s="330">
        <v>0</v>
      </c>
      <c r="AF199" s="330">
        <v>0</v>
      </c>
      <c r="AG199" s="328">
        <v>10</v>
      </c>
      <c r="AH199" s="329" t="s">
        <v>934</v>
      </c>
      <c r="AI199" s="184">
        <v>22</v>
      </c>
      <c r="AJ199" s="184">
        <v>51</v>
      </c>
      <c r="AK199" s="184">
        <v>66</v>
      </c>
      <c r="AL199" s="184">
        <v>77</v>
      </c>
      <c r="AM199" s="184">
        <v>50</v>
      </c>
      <c r="AN199" s="184">
        <v>17</v>
      </c>
      <c r="AO199" s="184">
        <v>22</v>
      </c>
      <c r="AP199" s="184">
        <v>9</v>
      </c>
      <c r="AQ199" s="336">
        <v>314</v>
      </c>
      <c r="AR199" s="323">
        <v>9</v>
      </c>
      <c r="AS199" s="323">
        <v>4256</v>
      </c>
      <c r="AT199" s="323">
        <v>2600</v>
      </c>
      <c r="AU199" s="323">
        <v>2057</v>
      </c>
      <c r="AV199" s="323">
        <v>1543</v>
      </c>
      <c r="AW199" s="323">
        <v>741</v>
      </c>
      <c r="AX199" s="323">
        <v>187</v>
      </c>
      <c r="AY199" s="323">
        <v>79</v>
      </c>
      <c r="AZ199" s="323">
        <v>1</v>
      </c>
      <c r="BA199" s="323">
        <v>11473</v>
      </c>
      <c r="BB199" s="331">
        <v>0</v>
      </c>
      <c r="BC199" s="330">
        <v>51</v>
      </c>
      <c r="BD199" s="330">
        <v>52</v>
      </c>
      <c r="BE199" s="330">
        <v>52</v>
      </c>
      <c r="BF199" s="330">
        <v>57</v>
      </c>
      <c r="BG199" s="330">
        <v>24</v>
      </c>
      <c r="BH199" s="330">
        <v>14</v>
      </c>
      <c r="BI199" s="330">
        <v>4</v>
      </c>
      <c r="BJ199" s="330">
        <v>0</v>
      </c>
      <c r="BK199" s="328">
        <v>254</v>
      </c>
      <c r="BL199" s="323">
        <v>0</v>
      </c>
      <c r="BM199" s="323">
        <v>4</v>
      </c>
      <c r="BN199" s="323">
        <v>2</v>
      </c>
      <c r="BO199" s="323">
        <v>4</v>
      </c>
      <c r="BP199" s="323">
        <v>5</v>
      </c>
      <c r="BQ199" s="323">
        <v>9</v>
      </c>
      <c r="BR199" s="323">
        <v>14</v>
      </c>
      <c r="BS199" s="323">
        <v>11</v>
      </c>
      <c r="BT199" s="323">
        <v>1</v>
      </c>
      <c r="BU199" s="323">
        <v>50</v>
      </c>
      <c r="BV199" s="329" t="s">
        <v>934</v>
      </c>
      <c r="BW199" s="330">
        <v>760</v>
      </c>
      <c r="BX199" s="330">
        <v>616</v>
      </c>
      <c r="BY199" s="330">
        <v>699</v>
      </c>
      <c r="BZ199" s="330">
        <v>675</v>
      </c>
      <c r="CA199" s="330">
        <v>593</v>
      </c>
      <c r="CB199" s="330">
        <v>281</v>
      </c>
      <c r="CC199" s="330">
        <v>274</v>
      </c>
      <c r="CD199" s="330">
        <v>17</v>
      </c>
      <c r="CE199" s="328">
        <v>3915</v>
      </c>
      <c r="CF199" s="322" t="s">
        <v>934</v>
      </c>
      <c r="CG199" s="323">
        <v>0</v>
      </c>
      <c r="CH199" s="323">
        <v>0</v>
      </c>
      <c r="CI199" s="323">
        <v>0</v>
      </c>
      <c r="CJ199" s="323">
        <v>0</v>
      </c>
      <c r="CK199" s="323">
        <v>0</v>
      </c>
      <c r="CL199" s="323">
        <v>0</v>
      </c>
      <c r="CM199" s="323">
        <v>0</v>
      </c>
      <c r="CN199" s="323">
        <v>0</v>
      </c>
      <c r="CO199" s="323">
        <v>0</v>
      </c>
      <c r="CP199" s="329" t="s">
        <v>934</v>
      </c>
      <c r="CQ199" s="330">
        <v>110</v>
      </c>
      <c r="CR199" s="330">
        <v>74</v>
      </c>
      <c r="CS199" s="330">
        <v>71</v>
      </c>
      <c r="CT199" s="330">
        <v>49</v>
      </c>
      <c r="CU199" s="330">
        <v>36</v>
      </c>
      <c r="CV199" s="330">
        <v>14</v>
      </c>
      <c r="CW199" s="330">
        <v>5</v>
      </c>
      <c r="CX199" s="330">
        <v>3</v>
      </c>
      <c r="CY199" s="328">
        <v>362</v>
      </c>
      <c r="CZ199" s="322" t="s">
        <v>934</v>
      </c>
      <c r="DA199" s="323">
        <v>0</v>
      </c>
      <c r="DB199" s="323">
        <v>0</v>
      </c>
      <c r="DC199" s="323">
        <v>0</v>
      </c>
      <c r="DD199" s="323">
        <v>0</v>
      </c>
      <c r="DE199" s="323">
        <v>0</v>
      </c>
      <c r="DF199" s="323">
        <v>0</v>
      </c>
      <c r="DG199" s="323">
        <v>0</v>
      </c>
      <c r="DH199" s="323">
        <v>0</v>
      </c>
      <c r="DI199" s="323">
        <v>0</v>
      </c>
      <c r="DJ199" s="337">
        <v>93</v>
      </c>
      <c r="DK199" s="644">
        <v>31167.8</v>
      </c>
      <c r="DL199" s="616">
        <v>9605</v>
      </c>
      <c r="DM199" s="616">
        <v>8760</v>
      </c>
      <c r="DN199" s="616">
        <v>7757</v>
      </c>
      <c r="DO199" s="616">
        <v>7641</v>
      </c>
      <c r="DP199" s="616">
        <v>4877</v>
      </c>
      <c r="DQ199" s="616">
        <v>1543</v>
      </c>
      <c r="DR199" s="616">
        <v>791</v>
      </c>
      <c r="DS199" s="617">
        <v>58</v>
      </c>
      <c r="DT199" s="607">
        <f t="shared" si="2"/>
        <v>41032</v>
      </c>
      <c r="DU199" s="342"/>
      <c r="EC199" s="646"/>
      <c r="EF199" s="125"/>
      <c r="EG199" s="124"/>
    </row>
    <row r="200" spans="1:137" ht="15">
      <c r="A200" s="22">
        <v>192</v>
      </c>
      <c r="B200" s="23" t="s">
        <v>516</v>
      </c>
      <c r="C200" s="24" t="s">
        <v>517</v>
      </c>
      <c r="D200" s="613"/>
      <c r="E200" s="628">
        <v>9357</v>
      </c>
      <c r="F200" s="628">
        <v>10215</v>
      </c>
      <c r="G200" s="628">
        <v>8972</v>
      </c>
      <c r="H200" s="628">
        <v>7243</v>
      </c>
      <c r="I200" s="628">
        <v>4004</v>
      </c>
      <c r="J200" s="628">
        <v>1721</v>
      </c>
      <c r="K200" s="628">
        <v>603</v>
      </c>
      <c r="L200" s="628">
        <v>40</v>
      </c>
      <c r="M200" s="627">
        <v>42155</v>
      </c>
      <c r="N200" s="322"/>
      <c r="O200" s="323">
        <v>547</v>
      </c>
      <c r="P200" s="323">
        <v>443</v>
      </c>
      <c r="Q200" s="323">
        <v>196</v>
      </c>
      <c r="R200" s="323">
        <v>127</v>
      </c>
      <c r="S200" s="323">
        <v>50</v>
      </c>
      <c r="T200" s="323">
        <v>30</v>
      </c>
      <c r="U200" s="323">
        <v>14</v>
      </c>
      <c r="V200" s="323">
        <v>4</v>
      </c>
      <c r="W200" s="323">
        <v>1411</v>
      </c>
      <c r="X200" s="329" t="s">
        <v>934</v>
      </c>
      <c r="Y200" s="330">
        <v>0</v>
      </c>
      <c r="Z200" s="330">
        <v>0</v>
      </c>
      <c r="AA200" s="330">
        <v>0</v>
      </c>
      <c r="AB200" s="330">
        <v>0</v>
      </c>
      <c r="AC200" s="330">
        <v>0</v>
      </c>
      <c r="AD200" s="330">
        <v>0</v>
      </c>
      <c r="AE200" s="330">
        <v>0</v>
      </c>
      <c r="AF200" s="330">
        <v>0</v>
      </c>
      <c r="AG200" s="328">
        <v>0</v>
      </c>
      <c r="AH200" s="329" t="s">
        <v>934</v>
      </c>
      <c r="AI200" s="184">
        <v>16</v>
      </c>
      <c r="AJ200" s="184">
        <v>38</v>
      </c>
      <c r="AK200" s="184">
        <v>34</v>
      </c>
      <c r="AL200" s="184">
        <v>64</v>
      </c>
      <c r="AM200" s="184">
        <v>41</v>
      </c>
      <c r="AN200" s="184">
        <v>14</v>
      </c>
      <c r="AO200" s="184">
        <v>17</v>
      </c>
      <c r="AP200" s="184">
        <v>4</v>
      </c>
      <c r="AQ200" s="336">
        <v>228</v>
      </c>
      <c r="AR200" s="323">
        <v>4</v>
      </c>
      <c r="AS200" s="323">
        <v>4313</v>
      </c>
      <c r="AT200" s="323">
        <v>3300</v>
      </c>
      <c r="AU200" s="323">
        <v>2461</v>
      </c>
      <c r="AV200" s="323">
        <v>1516</v>
      </c>
      <c r="AW200" s="323">
        <v>639</v>
      </c>
      <c r="AX200" s="323">
        <v>224</v>
      </c>
      <c r="AY200" s="323">
        <v>62</v>
      </c>
      <c r="AZ200" s="323">
        <v>1</v>
      </c>
      <c r="BA200" s="323">
        <v>12520</v>
      </c>
      <c r="BB200" s="331">
        <v>2</v>
      </c>
      <c r="BC200" s="330">
        <v>31</v>
      </c>
      <c r="BD200" s="330">
        <v>52</v>
      </c>
      <c r="BE200" s="330">
        <v>40</v>
      </c>
      <c r="BF200" s="330">
        <v>24</v>
      </c>
      <c r="BG200" s="330">
        <v>10</v>
      </c>
      <c r="BH200" s="330">
        <v>4</v>
      </c>
      <c r="BI200" s="330">
        <v>1</v>
      </c>
      <c r="BJ200" s="330">
        <v>0</v>
      </c>
      <c r="BK200" s="328">
        <v>164</v>
      </c>
      <c r="BL200" s="323">
        <v>0</v>
      </c>
      <c r="BM200" s="323">
        <v>5</v>
      </c>
      <c r="BN200" s="323">
        <v>2</v>
      </c>
      <c r="BO200" s="323">
        <v>6</v>
      </c>
      <c r="BP200" s="323">
        <v>6</v>
      </c>
      <c r="BQ200" s="323">
        <v>11</v>
      </c>
      <c r="BR200" s="323">
        <v>25</v>
      </c>
      <c r="BS200" s="323">
        <v>15</v>
      </c>
      <c r="BT200" s="323">
        <v>1</v>
      </c>
      <c r="BU200" s="323">
        <v>71</v>
      </c>
      <c r="BV200" s="329" t="s">
        <v>934</v>
      </c>
      <c r="BW200" s="330">
        <v>345</v>
      </c>
      <c r="BX200" s="330">
        <v>320</v>
      </c>
      <c r="BY200" s="330">
        <v>345</v>
      </c>
      <c r="BZ200" s="330">
        <v>269</v>
      </c>
      <c r="CA200" s="330">
        <v>163</v>
      </c>
      <c r="CB200" s="330">
        <v>100</v>
      </c>
      <c r="CC200" s="330">
        <v>34</v>
      </c>
      <c r="CD200" s="330">
        <v>4</v>
      </c>
      <c r="CE200" s="328">
        <v>1580</v>
      </c>
      <c r="CF200" s="322" t="s">
        <v>934</v>
      </c>
      <c r="CG200" s="323">
        <v>0</v>
      </c>
      <c r="CH200" s="323">
        <v>0</v>
      </c>
      <c r="CI200" s="323">
        <v>0</v>
      </c>
      <c r="CJ200" s="323">
        <v>0</v>
      </c>
      <c r="CK200" s="323">
        <v>0</v>
      </c>
      <c r="CL200" s="323">
        <v>0</v>
      </c>
      <c r="CM200" s="323">
        <v>0</v>
      </c>
      <c r="CN200" s="323">
        <v>0</v>
      </c>
      <c r="CO200" s="323">
        <v>0</v>
      </c>
      <c r="CP200" s="329" t="s">
        <v>934</v>
      </c>
      <c r="CQ200" s="330">
        <v>167</v>
      </c>
      <c r="CR200" s="330">
        <v>97</v>
      </c>
      <c r="CS200" s="330">
        <v>68</v>
      </c>
      <c r="CT200" s="330">
        <v>50</v>
      </c>
      <c r="CU200" s="330">
        <v>20</v>
      </c>
      <c r="CV200" s="330">
        <v>17</v>
      </c>
      <c r="CW200" s="330">
        <v>6</v>
      </c>
      <c r="CX200" s="330">
        <v>0</v>
      </c>
      <c r="CY200" s="328">
        <v>425</v>
      </c>
      <c r="CZ200" s="322" t="s">
        <v>934</v>
      </c>
      <c r="DA200" s="323">
        <v>0</v>
      </c>
      <c r="DB200" s="323">
        <v>0</v>
      </c>
      <c r="DC200" s="323">
        <v>0</v>
      </c>
      <c r="DD200" s="323">
        <v>0</v>
      </c>
      <c r="DE200" s="323">
        <v>0</v>
      </c>
      <c r="DF200" s="323">
        <v>0</v>
      </c>
      <c r="DG200" s="323">
        <v>0</v>
      </c>
      <c r="DH200" s="323">
        <v>0</v>
      </c>
      <c r="DI200" s="323">
        <v>0</v>
      </c>
      <c r="DJ200" s="337">
        <v>0</v>
      </c>
      <c r="DK200" s="644">
        <v>33512</v>
      </c>
      <c r="DL200" s="614">
        <v>9467</v>
      </c>
      <c r="DM200" s="614">
        <v>10303</v>
      </c>
      <c r="DN200" s="614">
        <v>9060</v>
      </c>
      <c r="DO200" s="614">
        <v>7318</v>
      </c>
      <c r="DP200" s="614">
        <v>4020</v>
      </c>
      <c r="DQ200" s="614">
        <v>1731</v>
      </c>
      <c r="DR200" s="614">
        <v>604</v>
      </c>
      <c r="DS200" s="615">
        <v>40</v>
      </c>
      <c r="DT200" s="607">
        <f t="shared" si="2"/>
        <v>42543</v>
      </c>
      <c r="DU200" s="342"/>
      <c r="EC200" s="646"/>
      <c r="EF200" s="126"/>
      <c r="EG200" s="124"/>
    </row>
    <row r="201" spans="1:137" ht="15">
      <c r="A201" s="22">
        <v>193</v>
      </c>
      <c r="B201" s="23" t="s">
        <v>518</v>
      </c>
      <c r="C201" s="24" t="s">
        <v>519</v>
      </c>
      <c r="D201" s="613"/>
      <c r="E201" s="628">
        <v>2431</v>
      </c>
      <c r="F201" s="628">
        <v>5681</v>
      </c>
      <c r="G201" s="628">
        <v>7575</v>
      </c>
      <c r="H201" s="628">
        <v>5447</v>
      </c>
      <c r="I201" s="628">
        <v>4128</v>
      </c>
      <c r="J201" s="628">
        <v>2401</v>
      </c>
      <c r="K201" s="628">
        <v>1380</v>
      </c>
      <c r="L201" s="628">
        <v>125</v>
      </c>
      <c r="M201" s="627">
        <v>29168</v>
      </c>
      <c r="N201" s="322"/>
      <c r="O201" s="323">
        <v>158</v>
      </c>
      <c r="P201" s="323">
        <v>413</v>
      </c>
      <c r="Q201" s="323">
        <v>360</v>
      </c>
      <c r="R201" s="323">
        <v>188</v>
      </c>
      <c r="S201" s="323">
        <v>106</v>
      </c>
      <c r="T201" s="323">
        <v>40</v>
      </c>
      <c r="U201" s="323">
        <v>24</v>
      </c>
      <c r="V201" s="323">
        <v>10</v>
      </c>
      <c r="W201" s="323">
        <v>1299</v>
      </c>
      <c r="X201" s="329" t="s">
        <v>934</v>
      </c>
      <c r="Y201" s="330">
        <v>0</v>
      </c>
      <c r="Z201" s="330">
        <v>0</v>
      </c>
      <c r="AA201" s="330">
        <v>0</v>
      </c>
      <c r="AB201" s="330">
        <v>1</v>
      </c>
      <c r="AC201" s="330">
        <v>0</v>
      </c>
      <c r="AD201" s="330">
        <v>0</v>
      </c>
      <c r="AE201" s="330">
        <v>1</v>
      </c>
      <c r="AF201" s="330">
        <v>0</v>
      </c>
      <c r="AG201" s="328">
        <v>2</v>
      </c>
      <c r="AH201" s="329" t="s">
        <v>934</v>
      </c>
      <c r="AI201" s="184">
        <v>7</v>
      </c>
      <c r="AJ201" s="184">
        <v>17</v>
      </c>
      <c r="AK201" s="184">
        <v>48</v>
      </c>
      <c r="AL201" s="184">
        <v>33</v>
      </c>
      <c r="AM201" s="184">
        <v>27</v>
      </c>
      <c r="AN201" s="184">
        <v>29</v>
      </c>
      <c r="AO201" s="184">
        <v>20</v>
      </c>
      <c r="AP201" s="184">
        <v>7</v>
      </c>
      <c r="AQ201" s="336">
        <v>188</v>
      </c>
      <c r="AR201" s="323">
        <v>5</v>
      </c>
      <c r="AS201" s="323">
        <v>1426</v>
      </c>
      <c r="AT201" s="323">
        <v>2166</v>
      </c>
      <c r="AU201" s="323">
        <v>2115</v>
      </c>
      <c r="AV201" s="323">
        <v>1322</v>
      </c>
      <c r="AW201" s="323">
        <v>795</v>
      </c>
      <c r="AX201" s="323">
        <v>384</v>
      </c>
      <c r="AY201" s="323">
        <v>180</v>
      </c>
      <c r="AZ201" s="323">
        <v>13</v>
      </c>
      <c r="BA201" s="323">
        <v>8406</v>
      </c>
      <c r="BB201" s="331">
        <v>0</v>
      </c>
      <c r="BC201" s="330">
        <v>9</v>
      </c>
      <c r="BD201" s="330">
        <v>31</v>
      </c>
      <c r="BE201" s="330">
        <v>42</v>
      </c>
      <c r="BF201" s="330">
        <v>34</v>
      </c>
      <c r="BG201" s="330">
        <v>16</v>
      </c>
      <c r="BH201" s="330">
        <v>8</v>
      </c>
      <c r="BI201" s="330">
        <v>4</v>
      </c>
      <c r="BJ201" s="330">
        <v>0</v>
      </c>
      <c r="BK201" s="328">
        <v>144</v>
      </c>
      <c r="BL201" s="323">
        <v>0</v>
      </c>
      <c r="BM201" s="323">
        <v>2</v>
      </c>
      <c r="BN201" s="323">
        <v>2</v>
      </c>
      <c r="BO201" s="323">
        <v>11</v>
      </c>
      <c r="BP201" s="323">
        <v>1</v>
      </c>
      <c r="BQ201" s="323">
        <v>2</v>
      </c>
      <c r="BR201" s="323">
        <v>9</v>
      </c>
      <c r="BS201" s="323">
        <v>6</v>
      </c>
      <c r="BT201" s="323">
        <v>4</v>
      </c>
      <c r="BU201" s="323">
        <v>37</v>
      </c>
      <c r="BV201" s="329" t="s">
        <v>934</v>
      </c>
      <c r="BW201" s="330">
        <v>49</v>
      </c>
      <c r="BX201" s="330">
        <v>54</v>
      </c>
      <c r="BY201" s="330">
        <v>121</v>
      </c>
      <c r="BZ201" s="330">
        <v>103</v>
      </c>
      <c r="CA201" s="330">
        <v>72</v>
      </c>
      <c r="CB201" s="330">
        <v>58</v>
      </c>
      <c r="CC201" s="330">
        <v>57</v>
      </c>
      <c r="CD201" s="330">
        <v>9</v>
      </c>
      <c r="CE201" s="328">
        <v>523</v>
      </c>
      <c r="CF201" s="322" t="s">
        <v>934</v>
      </c>
      <c r="CG201" s="323">
        <v>4</v>
      </c>
      <c r="CH201" s="323">
        <v>3</v>
      </c>
      <c r="CI201" s="323">
        <v>6</v>
      </c>
      <c r="CJ201" s="323">
        <v>2</v>
      </c>
      <c r="CK201" s="323">
        <v>4</v>
      </c>
      <c r="CL201" s="323">
        <v>3</v>
      </c>
      <c r="CM201" s="323">
        <v>1</v>
      </c>
      <c r="CN201" s="323">
        <v>0</v>
      </c>
      <c r="CO201" s="323">
        <v>23</v>
      </c>
      <c r="CP201" s="329" t="s">
        <v>934</v>
      </c>
      <c r="CQ201" s="330">
        <v>60</v>
      </c>
      <c r="CR201" s="330">
        <v>55</v>
      </c>
      <c r="CS201" s="330">
        <v>70</v>
      </c>
      <c r="CT201" s="330">
        <v>48</v>
      </c>
      <c r="CU201" s="330">
        <v>24</v>
      </c>
      <c r="CV201" s="330">
        <v>12</v>
      </c>
      <c r="CW201" s="330">
        <v>10</v>
      </c>
      <c r="CX201" s="330">
        <v>1</v>
      </c>
      <c r="CY201" s="328">
        <v>280</v>
      </c>
      <c r="CZ201" s="322" t="s">
        <v>934</v>
      </c>
      <c r="DA201" s="323">
        <v>0</v>
      </c>
      <c r="DB201" s="323">
        <v>0</v>
      </c>
      <c r="DC201" s="323">
        <v>0</v>
      </c>
      <c r="DD201" s="323">
        <v>0</v>
      </c>
      <c r="DE201" s="323">
        <v>0</v>
      </c>
      <c r="DF201" s="323">
        <v>0</v>
      </c>
      <c r="DG201" s="323">
        <v>0</v>
      </c>
      <c r="DH201" s="323">
        <v>0</v>
      </c>
      <c r="DI201" s="323">
        <v>0</v>
      </c>
      <c r="DJ201" s="337">
        <v>397.5</v>
      </c>
      <c r="DK201" s="644">
        <v>26187</v>
      </c>
      <c r="DL201" s="614">
        <v>2505</v>
      </c>
      <c r="DM201" s="614">
        <v>5817</v>
      </c>
      <c r="DN201" s="614">
        <v>7623</v>
      </c>
      <c r="DO201" s="614">
        <v>5504</v>
      </c>
      <c r="DP201" s="614">
        <v>4123</v>
      </c>
      <c r="DQ201" s="614">
        <v>2425</v>
      </c>
      <c r="DR201" s="614">
        <v>1378</v>
      </c>
      <c r="DS201" s="615">
        <v>132</v>
      </c>
      <c r="DT201" s="607">
        <f aca="true" t="shared" si="3" ref="DT201:DT264">SUM(DL201:DS201)</f>
        <v>29507</v>
      </c>
      <c r="DU201" s="342"/>
      <c r="EC201" s="646"/>
      <c r="EF201" s="126"/>
      <c r="EG201" s="124"/>
    </row>
    <row r="202" spans="1:137" ht="15">
      <c r="A202" s="22">
        <v>194</v>
      </c>
      <c r="B202" s="23" t="s">
        <v>520</v>
      </c>
      <c r="C202" s="24" t="s">
        <v>521</v>
      </c>
      <c r="D202" s="613"/>
      <c r="E202" s="629">
        <v>18193</v>
      </c>
      <c r="F202" s="629">
        <v>8207</v>
      </c>
      <c r="G202" s="629">
        <v>7005</v>
      </c>
      <c r="H202" s="629">
        <v>4574</v>
      </c>
      <c r="I202" s="629">
        <v>2741</v>
      </c>
      <c r="J202" s="629">
        <v>1346</v>
      </c>
      <c r="K202" s="629">
        <v>823</v>
      </c>
      <c r="L202" s="629">
        <v>65</v>
      </c>
      <c r="M202" s="627">
        <v>42954</v>
      </c>
      <c r="N202" s="322"/>
      <c r="O202" s="323">
        <v>398</v>
      </c>
      <c r="P202" s="323">
        <v>127</v>
      </c>
      <c r="Q202" s="323">
        <v>97</v>
      </c>
      <c r="R202" s="323">
        <v>53</v>
      </c>
      <c r="S202" s="323">
        <v>38</v>
      </c>
      <c r="T202" s="323">
        <v>11</v>
      </c>
      <c r="U202" s="323">
        <v>5</v>
      </c>
      <c r="V202" s="323">
        <v>1</v>
      </c>
      <c r="W202" s="323">
        <v>730</v>
      </c>
      <c r="X202" s="329" t="s">
        <v>934</v>
      </c>
      <c r="Y202" s="330">
        <v>0</v>
      </c>
      <c r="Z202" s="330">
        <v>0</v>
      </c>
      <c r="AA202" s="330">
        <v>0</v>
      </c>
      <c r="AB202" s="330">
        <v>0</v>
      </c>
      <c r="AC202" s="330">
        <v>0</v>
      </c>
      <c r="AD202" s="330">
        <v>0</v>
      </c>
      <c r="AE202" s="330">
        <v>0</v>
      </c>
      <c r="AF202" s="330">
        <v>0</v>
      </c>
      <c r="AG202" s="328">
        <v>0</v>
      </c>
      <c r="AH202" s="329" t="s">
        <v>934</v>
      </c>
      <c r="AI202" s="184">
        <v>44</v>
      </c>
      <c r="AJ202" s="184">
        <v>48</v>
      </c>
      <c r="AK202" s="184">
        <v>66</v>
      </c>
      <c r="AL202" s="184">
        <v>40</v>
      </c>
      <c r="AM202" s="184">
        <v>25</v>
      </c>
      <c r="AN202" s="184">
        <v>15</v>
      </c>
      <c r="AO202" s="184">
        <v>15</v>
      </c>
      <c r="AP202" s="184">
        <v>10</v>
      </c>
      <c r="AQ202" s="336">
        <v>263</v>
      </c>
      <c r="AR202" s="323">
        <v>0</v>
      </c>
      <c r="AS202" s="323">
        <v>7820</v>
      </c>
      <c r="AT202" s="323">
        <v>2358</v>
      </c>
      <c r="AU202" s="323">
        <v>1675</v>
      </c>
      <c r="AV202" s="323">
        <v>866</v>
      </c>
      <c r="AW202" s="323">
        <v>457</v>
      </c>
      <c r="AX202" s="323">
        <v>193</v>
      </c>
      <c r="AY202" s="323">
        <v>100</v>
      </c>
      <c r="AZ202" s="323">
        <v>3</v>
      </c>
      <c r="BA202" s="323">
        <v>13472</v>
      </c>
      <c r="BB202" s="331">
        <v>0</v>
      </c>
      <c r="BC202" s="330">
        <v>120</v>
      </c>
      <c r="BD202" s="330">
        <v>43</v>
      </c>
      <c r="BE202" s="330">
        <v>34</v>
      </c>
      <c r="BF202" s="330">
        <v>28</v>
      </c>
      <c r="BG202" s="330">
        <v>6</v>
      </c>
      <c r="BH202" s="330">
        <v>3</v>
      </c>
      <c r="BI202" s="330">
        <v>2</v>
      </c>
      <c r="BJ202" s="330">
        <v>0</v>
      </c>
      <c r="BK202" s="328">
        <v>236</v>
      </c>
      <c r="BL202" s="323">
        <v>0</v>
      </c>
      <c r="BM202" s="323">
        <v>2</v>
      </c>
      <c r="BN202" s="323">
        <v>4</v>
      </c>
      <c r="BO202" s="323">
        <v>7</v>
      </c>
      <c r="BP202" s="323">
        <v>8</v>
      </c>
      <c r="BQ202" s="323">
        <v>4</v>
      </c>
      <c r="BR202" s="323">
        <v>2</v>
      </c>
      <c r="BS202" s="323">
        <v>12</v>
      </c>
      <c r="BT202" s="323">
        <v>9</v>
      </c>
      <c r="BU202" s="323">
        <v>48</v>
      </c>
      <c r="BV202" s="329" t="s">
        <v>934</v>
      </c>
      <c r="BW202" s="330">
        <v>50</v>
      </c>
      <c r="BX202" s="330">
        <v>34</v>
      </c>
      <c r="BY202" s="330">
        <v>28</v>
      </c>
      <c r="BZ202" s="330">
        <v>14</v>
      </c>
      <c r="CA202" s="330">
        <v>5</v>
      </c>
      <c r="CB202" s="330">
        <v>11</v>
      </c>
      <c r="CC202" s="330">
        <v>5</v>
      </c>
      <c r="CD202" s="330">
        <v>1</v>
      </c>
      <c r="CE202" s="328">
        <v>148</v>
      </c>
      <c r="CF202" s="322" t="s">
        <v>934</v>
      </c>
      <c r="CG202" s="323">
        <v>274</v>
      </c>
      <c r="CH202" s="323">
        <v>103</v>
      </c>
      <c r="CI202" s="323">
        <v>76</v>
      </c>
      <c r="CJ202" s="323">
        <v>46</v>
      </c>
      <c r="CK202" s="323">
        <v>36</v>
      </c>
      <c r="CL202" s="323">
        <v>24</v>
      </c>
      <c r="CM202" s="323">
        <v>17</v>
      </c>
      <c r="CN202" s="323">
        <v>3</v>
      </c>
      <c r="CO202" s="323">
        <v>579</v>
      </c>
      <c r="CP202" s="329" t="s">
        <v>934</v>
      </c>
      <c r="CQ202" s="330">
        <v>0</v>
      </c>
      <c r="CR202" s="330">
        <v>0</v>
      </c>
      <c r="CS202" s="330">
        <v>0</v>
      </c>
      <c r="CT202" s="330">
        <v>0</v>
      </c>
      <c r="CU202" s="330">
        <v>0</v>
      </c>
      <c r="CV202" s="330">
        <v>0</v>
      </c>
      <c r="CW202" s="330">
        <v>0</v>
      </c>
      <c r="CX202" s="330">
        <v>0</v>
      </c>
      <c r="CY202" s="328">
        <v>0</v>
      </c>
      <c r="CZ202" s="322" t="s">
        <v>934</v>
      </c>
      <c r="DA202" s="323">
        <v>0</v>
      </c>
      <c r="DB202" s="323">
        <v>0</v>
      </c>
      <c r="DC202" s="323">
        <v>0</v>
      </c>
      <c r="DD202" s="323">
        <v>0</v>
      </c>
      <c r="DE202" s="323">
        <v>0</v>
      </c>
      <c r="DF202" s="323">
        <v>0</v>
      </c>
      <c r="DG202" s="323">
        <v>0</v>
      </c>
      <c r="DH202" s="323">
        <v>0</v>
      </c>
      <c r="DI202" s="323">
        <v>0</v>
      </c>
      <c r="DJ202" s="337">
        <v>0</v>
      </c>
      <c r="DK202" s="644">
        <v>32502.9</v>
      </c>
      <c r="DL202" s="616">
        <v>18291</v>
      </c>
      <c r="DM202" s="616">
        <v>8445</v>
      </c>
      <c r="DN202" s="616">
        <v>7110</v>
      </c>
      <c r="DO202" s="616">
        <v>4623</v>
      </c>
      <c r="DP202" s="616">
        <v>2750</v>
      </c>
      <c r="DQ202" s="616">
        <v>1355</v>
      </c>
      <c r="DR202" s="616">
        <v>824</v>
      </c>
      <c r="DS202" s="617">
        <v>64</v>
      </c>
      <c r="DT202" s="607">
        <f t="shared" si="3"/>
        <v>43462</v>
      </c>
      <c r="DU202" s="342"/>
      <c r="EC202" s="646"/>
      <c r="EF202" s="125"/>
      <c r="EG202" s="124"/>
    </row>
    <row r="203" spans="1:137" ht="15">
      <c r="A203" s="22">
        <v>195</v>
      </c>
      <c r="B203" s="23" t="s">
        <v>522</v>
      </c>
      <c r="C203" s="24" t="s">
        <v>523</v>
      </c>
      <c r="D203" s="613"/>
      <c r="E203" s="626">
        <v>38510</v>
      </c>
      <c r="F203" s="626">
        <v>16264</v>
      </c>
      <c r="G203" s="626">
        <v>8240</v>
      </c>
      <c r="H203" s="626">
        <v>4443</v>
      </c>
      <c r="I203" s="626">
        <v>1725</v>
      </c>
      <c r="J203" s="626">
        <v>632</v>
      </c>
      <c r="K203" s="626">
        <v>396</v>
      </c>
      <c r="L203" s="626">
        <v>41</v>
      </c>
      <c r="M203" s="627">
        <v>70251</v>
      </c>
      <c r="N203" s="322"/>
      <c r="O203" s="323">
        <v>1364</v>
      </c>
      <c r="P203" s="323">
        <v>245</v>
      </c>
      <c r="Q203" s="323">
        <v>111</v>
      </c>
      <c r="R203" s="323">
        <v>50</v>
      </c>
      <c r="S203" s="323">
        <v>16</v>
      </c>
      <c r="T203" s="323">
        <v>8</v>
      </c>
      <c r="U203" s="323">
        <v>7</v>
      </c>
      <c r="V203" s="323">
        <v>2</v>
      </c>
      <c r="W203" s="323">
        <v>1803</v>
      </c>
      <c r="X203" s="329" t="s">
        <v>934</v>
      </c>
      <c r="Y203" s="330">
        <v>0</v>
      </c>
      <c r="Z203" s="330">
        <v>0</v>
      </c>
      <c r="AA203" s="330">
        <v>0</v>
      </c>
      <c r="AB203" s="330">
        <v>0</v>
      </c>
      <c r="AC203" s="330">
        <v>0</v>
      </c>
      <c r="AD203" s="330">
        <v>0</v>
      </c>
      <c r="AE203" s="330">
        <v>0</v>
      </c>
      <c r="AF203" s="330">
        <v>0</v>
      </c>
      <c r="AG203" s="328">
        <v>0</v>
      </c>
      <c r="AH203" s="329" t="s">
        <v>934</v>
      </c>
      <c r="AI203" s="184">
        <v>52</v>
      </c>
      <c r="AJ203" s="184">
        <v>56</v>
      </c>
      <c r="AK203" s="184">
        <v>65</v>
      </c>
      <c r="AL203" s="184">
        <v>30</v>
      </c>
      <c r="AM203" s="184">
        <v>11</v>
      </c>
      <c r="AN203" s="184">
        <v>12</v>
      </c>
      <c r="AO203" s="184">
        <v>26</v>
      </c>
      <c r="AP203" s="184">
        <v>20</v>
      </c>
      <c r="AQ203" s="336">
        <v>272</v>
      </c>
      <c r="AR203" s="323">
        <v>17</v>
      </c>
      <c r="AS203" s="323">
        <v>17619</v>
      </c>
      <c r="AT203" s="323">
        <v>4847</v>
      </c>
      <c r="AU203" s="323">
        <v>1909</v>
      </c>
      <c r="AV203" s="323">
        <v>660</v>
      </c>
      <c r="AW203" s="323">
        <v>236</v>
      </c>
      <c r="AX203" s="323">
        <v>78</v>
      </c>
      <c r="AY203" s="323">
        <v>47</v>
      </c>
      <c r="AZ203" s="323">
        <v>2</v>
      </c>
      <c r="BA203" s="323">
        <v>25415</v>
      </c>
      <c r="BB203" s="331">
        <v>3</v>
      </c>
      <c r="BC203" s="330">
        <v>226</v>
      </c>
      <c r="BD203" s="330">
        <v>110</v>
      </c>
      <c r="BE203" s="330">
        <v>51</v>
      </c>
      <c r="BF203" s="330">
        <v>35</v>
      </c>
      <c r="BG203" s="330">
        <v>8</v>
      </c>
      <c r="BH203" s="330">
        <v>4</v>
      </c>
      <c r="BI203" s="330">
        <v>1</v>
      </c>
      <c r="BJ203" s="330">
        <v>0</v>
      </c>
      <c r="BK203" s="328">
        <v>438</v>
      </c>
      <c r="BL203" s="323">
        <v>0</v>
      </c>
      <c r="BM203" s="323">
        <v>27</v>
      </c>
      <c r="BN203" s="323">
        <v>9</v>
      </c>
      <c r="BO203" s="323">
        <v>4</v>
      </c>
      <c r="BP203" s="323">
        <v>5</v>
      </c>
      <c r="BQ203" s="323">
        <v>9</v>
      </c>
      <c r="BR203" s="323">
        <v>22</v>
      </c>
      <c r="BS203" s="323">
        <v>22</v>
      </c>
      <c r="BT203" s="323">
        <v>1</v>
      </c>
      <c r="BU203" s="323">
        <v>99</v>
      </c>
      <c r="BV203" s="329" t="s">
        <v>934</v>
      </c>
      <c r="BW203" s="330">
        <v>331</v>
      </c>
      <c r="BX203" s="330">
        <v>45</v>
      </c>
      <c r="BY203" s="330">
        <v>16</v>
      </c>
      <c r="BZ203" s="330">
        <v>27</v>
      </c>
      <c r="CA203" s="330">
        <v>7</v>
      </c>
      <c r="CB203" s="330">
        <v>2</v>
      </c>
      <c r="CC203" s="330">
        <v>2</v>
      </c>
      <c r="CD203" s="330">
        <v>0</v>
      </c>
      <c r="CE203" s="328">
        <v>430</v>
      </c>
      <c r="CF203" s="322" t="s">
        <v>934</v>
      </c>
      <c r="CG203" s="323">
        <v>0</v>
      </c>
      <c r="CH203" s="323">
        <v>0</v>
      </c>
      <c r="CI203" s="323">
        <v>0</v>
      </c>
      <c r="CJ203" s="323">
        <v>0</v>
      </c>
      <c r="CK203" s="323">
        <v>0</v>
      </c>
      <c r="CL203" s="323">
        <v>0</v>
      </c>
      <c r="CM203" s="323">
        <v>0</v>
      </c>
      <c r="CN203" s="323">
        <v>0</v>
      </c>
      <c r="CO203" s="323">
        <v>0</v>
      </c>
      <c r="CP203" s="329" t="s">
        <v>934</v>
      </c>
      <c r="CQ203" s="330">
        <v>757</v>
      </c>
      <c r="CR203" s="330">
        <v>85</v>
      </c>
      <c r="CS203" s="330">
        <v>45</v>
      </c>
      <c r="CT203" s="330">
        <v>23</v>
      </c>
      <c r="CU203" s="330">
        <v>15</v>
      </c>
      <c r="CV203" s="330">
        <v>5</v>
      </c>
      <c r="CW203" s="330">
        <v>4</v>
      </c>
      <c r="CX203" s="330">
        <v>1</v>
      </c>
      <c r="CY203" s="328">
        <v>935</v>
      </c>
      <c r="CZ203" s="322" t="s">
        <v>934</v>
      </c>
      <c r="DA203" s="323">
        <v>0</v>
      </c>
      <c r="DB203" s="323">
        <v>0</v>
      </c>
      <c r="DC203" s="323">
        <v>0</v>
      </c>
      <c r="DD203" s="323">
        <v>0</v>
      </c>
      <c r="DE203" s="323">
        <v>0</v>
      </c>
      <c r="DF203" s="323">
        <v>0</v>
      </c>
      <c r="DG203" s="323">
        <v>0</v>
      </c>
      <c r="DH203" s="323">
        <v>0</v>
      </c>
      <c r="DI203" s="323">
        <v>0</v>
      </c>
      <c r="DJ203" s="337">
        <v>0</v>
      </c>
      <c r="DK203" s="644">
        <v>47629.8</v>
      </c>
      <c r="DL203" s="614">
        <v>38685</v>
      </c>
      <c r="DM203" s="614">
        <v>16364</v>
      </c>
      <c r="DN203" s="614">
        <v>8295</v>
      </c>
      <c r="DO203" s="614">
        <v>4514</v>
      </c>
      <c r="DP203" s="614">
        <v>1749</v>
      </c>
      <c r="DQ203" s="614">
        <v>642</v>
      </c>
      <c r="DR203" s="614">
        <v>410</v>
      </c>
      <c r="DS203" s="615">
        <v>43</v>
      </c>
      <c r="DT203" s="607">
        <f t="shared" si="3"/>
        <v>70702</v>
      </c>
      <c r="DU203" s="342"/>
      <c r="EC203" s="646"/>
      <c r="EF203" s="123"/>
      <c r="EG203" s="124"/>
    </row>
    <row r="204" spans="1:137" ht="15">
      <c r="A204" s="22">
        <v>196</v>
      </c>
      <c r="B204" s="23" t="s">
        <v>524</v>
      </c>
      <c r="C204" s="24" t="s">
        <v>525</v>
      </c>
      <c r="D204" s="613"/>
      <c r="E204" s="629">
        <v>3132</v>
      </c>
      <c r="F204" s="629">
        <v>7832</v>
      </c>
      <c r="G204" s="629">
        <v>18178</v>
      </c>
      <c r="H204" s="629">
        <v>9198</v>
      </c>
      <c r="I204" s="629">
        <v>6612</v>
      </c>
      <c r="J204" s="629">
        <v>4308</v>
      </c>
      <c r="K204" s="629">
        <v>3021</v>
      </c>
      <c r="L204" s="629">
        <v>290</v>
      </c>
      <c r="M204" s="627">
        <v>52571</v>
      </c>
      <c r="N204" s="322"/>
      <c r="O204" s="323">
        <v>153</v>
      </c>
      <c r="P204" s="323">
        <v>285</v>
      </c>
      <c r="Q204" s="323">
        <v>330</v>
      </c>
      <c r="R204" s="323">
        <v>143</v>
      </c>
      <c r="S204" s="323">
        <v>84</v>
      </c>
      <c r="T204" s="323">
        <v>53</v>
      </c>
      <c r="U204" s="323">
        <v>34</v>
      </c>
      <c r="V204" s="323">
        <v>6</v>
      </c>
      <c r="W204" s="323">
        <v>1088</v>
      </c>
      <c r="X204" s="329" t="s">
        <v>934</v>
      </c>
      <c r="Y204" s="330">
        <v>0</v>
      </c>
      <c r="Z204" s="330">
        <v>0</v>
      </c>
      <c r="AA204" s="330">
        <v>0</v>
      </c>
      <c r="AB204" s="330">
        <v>0</v>
      </c>
      <c r="AC204" s="330">
        <v>0</v>
      </c>
      <c r="AD204" s="330">
        <v>0</v>
      </c>
      <c r="AE204" s="330">
        <v>0</v>
      </c>
      <c r="AF204" s="330">
        <v>0</v>
      </c>
      <c r="AG204" s="328">
        <v>0</v>
      </c>
      <c r="AH204" s="329" t="s">
        <v>934</v>
      </c>
      <c r="AI204" s="184">
        <v>4</v>
      </c>
      <c r="AJ204" s="184">
        <v>19</v>
      </c>
      <c r="AK204" s="184">
        <v>48</v>
      </c>
      <c r="AL204" s="184">
        <v>43</v>
      </c>
      <c r="AM204" s="184">
        <v>33</v>
      </c>
      <c r="AN204" s="184">
        <v>30</v>
      </c>
      <c r="AO204" s="184">
        <v>28</v>
      </c>
      <c r="AP204" s="184">
        <v>19</v>
      </c>
      <c r="AQ204" s="336">
        <v>224</v>
      </c>
      <c r="AR204" s="323">
        <v>0</v>
      </c>
      <c r="AS204" s="323">
        <v>1846</v>
      </c>
      <c r="AT204" s="323">
        <v>4525</v>
      </c>
      <c r="AU204" s="323">
        <v>6351</v>
      </c>
      <c r="AV204" s="323">
        <v>2395</v>
      </c>
      <c r="AW204" s="323">
        <v>1309</v>
      </c>
      <c r="AX204" s="323">
        <v>659</v>
      </c>
      <c r="AY204" s="323">
        <v>344</v>
      </c>
      <c r="AZ204" s="323">
        <v>25</v>
      </c>
      <c r="BA204" s="323">
        <v>17454</v>
      </c>
      <c r="BB204" s="331">
        <v>0</v>
      </c>
      <c r="BC204" s="330">
        <v>11</v>
      </c>
      <c r="BD204" s="330">
        <v>35</v>
      </c>
      <c r="BE204" s="330">
        <v>104</v>
      </c>
      <c r="BF204" s="330">
        <v>40</v>
      </c>
      <c r="BG204" s="330">
        <v>33</v>
      </c>
      <c r="BH204" s="330">
        <v>13</v>
      </c>
      <c r="BI204" s="330">
        <v>10</v>
      </c>
      <c r="BJ204" s="330">
        <v>1</v>
      </c>
      <c r="BK204" s="328">
        <v>247</v>
      </c>
      <c r="BL204" s="323">
        <v>0</v>
      </c>
      <c r="BM204" s="323">
        <v>0</v>
      </c>
      <c r="BN204" s="323">
        <v>4</v>
      </c>
      <c r="BO204" s="323">
        <v>9</v>
      </c>
      <c r="BP204" s="323">
        <v>0</v>
      </c>
      <c r="BQ204" s="323">
        <v>7</v>
      </c>
      <c r="BR204" s="323">
        <v>9</v>
      </c>
      <c r="BS204" s="323">
        <v>19</v>
      </c>
      <c r="BT204" s="323">
        <v>0</v>
      </c>
      <c r="BU204" s="323">
        <v>48</v>
      </c>
      <c r="BV204" s="329" t="s">
        <v>934</v>
      </c>
      <c r="BW204" s="330">
        <v>39</v>
      </c>
      <c r="BX204" s="330">
        <v>65</v>
      </c>
      <c r="BY204" s="330">
        <v>76</v>
      </c>
      <c r="BZ204" s="330">
        <v>49</v>
      </c>
      <c r="CA204" s="330">
        <v>27</v>
      </c>
      <c r="CB204" s="330">
        <v>16</v>
      </c>
      <c r="CC204" s="330">
        <v>23</v>
      </c>
      <c r="CD204" s="330">
        <v>5</v>
      </c>
      <c r="CE204" s="328">
        <v>300</v>
      </c>
      <c r="CF204" s="322" t="s">
        <v>934</v>
      </c>
      <c r="CG204" s="323">
        <v>0</v>
      </c>
      <c r="CH204" s="323">
        <v>0</v>
      </c>
      <c r="CI204" s="323">
        <v>0</v>
      </c>
      <c r="CJ204" s="323">
        <v>0</v>
      </c>
      <c r="CK204" s="323">
        <v>0</v>
      </c>
      <c r="CL204" s="323">
        <v>0</v>
      </c>
      <c r="CM204" s="323">
        <v>0</v>
      </c>
      <c r="CN204" s="323">
        <v>0</v>
      </c>
      <c r="CO204" s="323">
        <v>0</v>
      </c>
      <c r="CP204" s="329" t="s">
        <v>934</v>
      </c>
      <c r="CQ204" s="330">
        <v>51</v>
      </c>
      <c r="CR204" s="330">
        <v>106</v>
      </c>
      <c r="CS204" s="330">
        <v>125</v>
      </c>
      <c r="CT204" s="330">
        <v>62</v>
      </c>
      <c r="CU204" s="330">
        <v>42</v>
      </c>
      <c r="CV204" s="330">
        <v>22</v>
      </c>
      <c r="CW204" s="330">
        <v>17</v>
      </c>
      <c r="CX204" s="330">
        <v>1</v>
      </c>
      <c r="CY204" s="328">
        <v>426</v>
      </c>
      <c r="CZ204" s="322" t="s">
        <v>934</v>
      </c>
      <c r="DA204" s="323">
        <v>0</v>
      </c>
      <c r="DB204" s="323">
        <v>0</v>
      </c>
      <c r="DC204" s="323">
        <v>0</v>
      </c>
      <c r="DD204" s="323">
        <v>0</v>
      </c>
      <c r="DE204" s="323">
        <v>0</v>
      </c>
      <c r="DF204" s="323">
        <v>0</v>
      </c>
      <c r="DG204" s="323">
        <v>0</v>
      </c>
      <c r="DH204" s="323">
        <v>0</v>
      </c>
      <c r="DI204" s="323">
        <v>0</v>
      </c>
      <c r="DJ204" s="337">
        <v>0</v>
      </c>
      <c r="DK204" s="644">
        <v>48174.1</v>
      </c>
      <c r="DL204" s="616">
        <v>3160</v>
      </c>
      <c r="DM204" s="616">
        <v>8022</v>
      </c>
      <c r="DN204" s="616">
        <v>18352</v>
      </c>
      <c r="DO204" s="616">
        <v>9367</v>
      </c>
      <c r="DP204" s="616">
        <v>6700</v>
      </c>
      <c r="DQ204" s="616">
        <v>4311</v>
      </c>
      <c r="DR204" s="616">
        <v>3036</v>
      </c>
      <c r="DS204" s="617">
        <v>292</v>
      </c>
      <c r="DT204" s="607">
        <f t="shared" si="3"/>
        <v>53240</v>
      </c>
      <c r="DU204" s="342"/>
      <c r="EC204" s="646"/>
      <c r="EF204" s="125"/>
      <c r="EG204" s="124"/>
    </row>
    <row r="205" spans="1:137" ht="15">
      <c r="A205" s="22">
        <v>197</v>
      </c>
      <c r="B205" s="23" t="s">
        <v>526</v>
      </c>
      <c r="C205" s="24" t="s">
        <v>527</v>
      </c>
      <c r="D205" s="613"/>
      <c r="E205" s="630">
        <v>11957</v>
      </c>
      <c r="F205" s="630">
        <v>11366</v>
      </c>
      <c r="G205" s="630">
        <v>11558</v>
      </c>
      <c r="H205" s="630">
        <v>5392</v>
      </c>
      <c r="I205" s="630">
        <v>2712</v>
      </c>
      <c r="J205" s="630">
        <v>1247</v>
      </c>
      <c r="K205" s="630">
        <v>405</v>
      </c>
      <c r="L205" s="630">
        <v>58</v>
      </c>
      <c r="M205" s="627">
        <v>44695</v>
      </c>
      <c r="N205" s="322"/>
      <c r="O205" s="323">
        <v>857</v>
      </c>
      <c r="P205" s="323">
        <v>670</v>
      </c>
      <c r="Q205" s="323">
        <v>399</v>
      </c>
      <c r="R205" s="323">
        <v>128</v>
      </c>
      <c r="S205" s="323">
        <v>61</v>
      </c>
      <c r="T205" s="323">
        <v>40</v>
      </c>
      <c r="U205" s="323">
        <v>10</v>
      </c>
      <c r="V205" s="323">
        <v>15</v>
      </c>
      <c r="W205" s="323">
        <v>2180</v>
      </c>
      <c r="X205" s="329" t="s">
        <v>934</v>
      </c>
      <c r="Y205" s="330">
        <v>0</v>
      </c>
      <c r="Z205" s="330">
        <v>0</v>
      </c>
      <c r="AA205" s="330">
        <v>0</v>
      </c>
      <c r="AB205" s="330">
        <v>0</v>
      </c>
      <c r="AC205" s="330">
        <v>0</v>
      </c>
      <c r="AD205" s="330">
        <v>0</v>
      </c>
      <c r="AE205" s="330">
        <v>0</v>
      </c>
      <c r="AF205" s="330">
        <v>0</v>
      </c>
      <c r="AG205" s="328">
        <v>0</v>
      </c>
      <c r="AH205" s="329" t="s">
        <v>934</v>
      </c>
      <c r="AI205" s="184">
        <v>35</v>
      </c>
      <c r="AJ205" s="184">
        <v>76</v>
      </c>
      <c r="AK205" s="184">
        <v>135</v>
      </c>
      <c r="AL205" s="184">
        <v>55</v>
      </c>
      <c r="AM205" s="184">
        <v>37</v>
      </c>
      <c r="AN205" s="184">
        <v>18</v>
      </c>
      <c r="AO205" s="184">
        <v>18</v>
      </c>
      <c r="AP205" s="184">
        <v>11</v>
      </c>
      <c r="AQ205" s="336">
        <v>385</v>
      </c>
      <c r="AR205" s="323">
        <v>5</v>
      </c>
      <c r="AS205" s="323">
        <v>4668</v>
      </c>
      <c r="AT205" s="323">
        <v>3363</v>
      </c>
      <c r="AU205" s="323">
        <v>2539</v>
      </c>
      <c r="AV205" s="323">
        <v>807</v>
      </c>
      <c r="AW205" s="323">
        <v>329</v>
      </c>
      <c r="AX205" s="323">
        <v>145</v>
      </c>
      <c r="AY205" s="323">
        <v>41</v>
      </c>
      <c r="AZ205" s="323">
        <v>2</v>
      </c>
      <c r="BA205" s="323">
        <v>11899</v>
      </c>
      <c r="BB205" s="331">
        <v>1</v>
      </c>
      <c r="BC205" s="330">
        <v>63</v>
      </c>
      <c r="BD205" s="330">
        <v>66</v>
      </c>
      <c r="BE205" s="330">
        <v>68</v>
      </c>
      <c r="BF205" s="330">
        <v>26</v>
      </c>
      <c r="BG205" s="330">
        <v>10</v>
      </c>
      <c r="BH205" s="330">
        <v>3</v>
      </c>
      <c r="BI205" s="330">
        <v>2</v>
      </c>
      <c r="BJ205" s="330">
        <v>0</v>
      </c>
      <c r="BK205" s="328">
        <v>239</v>
      </c>
      <c r="BL205" s="323">
        <v>0</v>
      </c>
      <c r="BM205" s="323">
        <v>1</v>
      </c>
      <c r="BN205" s="323">
        <v>5</v>
      </c>
      <c r="BO205" s="323">
        <v>4</v>
      </c>
      <c r="BP205" s="323">
        <v>5</v>
      </c>
      <c r="BQ205" s="323">
        <v>3</v>
      </c>
      <c r="BR205" s="323">
        <v>11</v>
      </c>
      <c r="BS205" s="323">
        <v>11</v>
      </c>
      <c r="BT205" s="323">
        <v>0</v>
      </c>
      <c r="BU205" s="323">
        <v>40</v>
      </c>
      <c r="BV205" s="329" t="s">
        <v>934</v>
      </c>
      <c r="BW205" s="330">
        <v>57</v>
      </c>
      <c r="BX205" s="330">
        <v>60</v>
      </c>
      <c r="BY205" s="330">
        <v>55</v>
      </c>
      <c r="BZ205" s="330">
        <v>23</v>
      </c>
      <c r="CA205" s="330">
        <v>22</v>
      </c>
      <c r="CB205" s="330">
        <v>8</v>
      </c>
      <c r="CC205" s="330">
        <v>7</v>
      </c>
      <c r="CD205" s="330">
        <v>1</v>
      </c>
      <c r="CE205" s="328">
        <v>233</v>
      </c>
      <c r="CF205" s="322" t="s">
        <v>934</v>
      </c>
      <c r="CG205" s="323">
        <v>131</v>
      </c>
      <c r="CH205" s="323">
        <v>126</v>
      </c>
      <c r="CI205" s="323">
        <v>102</v>
      </c>
      <c r="CJ205" s="323">
        <v>47</v>
      </c>
      <c r="CK205" s="323">
        <v>23</v>
      </c>
      <c r="CL205" s="323">
        <v>22</v>
      </c>
      <c r="CM205" s="323">
        <v>8</v>
      </c>
      <c r="CN205" s="323">
        <v>3</v>
      </c>
      <c r="CO205" s="323">
        <v>462</v>
      </c>
      <c r="CP205" s="329" t="s">
        <v>934</v>
      </c>
      <c r="CQ205" s="330">
        <v>0</v>
      </c>
      <c r="CR205" s="330">
        <v>0</v>
      </c>
      <c r="CS205" s="330">
        <v>0</v>
      </c>
      <c r="CT205" s="330">
        <v>0</v>
      </c>
      <c r="CU205" s="330">
        <v>0</v>
      </c>
      <c r="CV205" s="330">
        <v>0</v>
      </c>
      <c r="CW205" s="330">
        <v>0</v>
      </c>
      <c r="CX205" s="330">
        <v>0</v>
      </c>
      <c r="CY205" s="328">
        <v>0</v>
      </c>
      <c r="CZ205" s="322" t="s">
        <v>934</v>
      </c>
      <c r="DA205" s="323">
        <v>0</v>
      </c>
      <c r="DB205" s="323">
        <v>0</v>
      </c>
      <c r="DC205" s="323">
        <v>0</v>
      </c>
      <c r="DD205" s="323">
        <v>0</v>
      </c>
      <c r="DE205" s="323">
        <v>0</v>
      </c>
      <c r="DF205" s="323">
        <v>0</v>
      </c>
      <c r="DG205" s="323">
        <v>0</v>
      </c>
      <c r="DH205" s="323">
        <v>0</v>
      </c>
      <c r="DI205" s="323">
        <v>0</v>
      </c>
      <c r="DJ205" s="337">
        <v>653.1</v>
      </c>
      <c r="DK205" s="644">
        <v>34479.4</v>
      </c>
      <c r="DL205" s="614">
        <v>12170</v>
      </c>
      <c r="DM205" s="614">
        <v>11487</v>
      </c>
      <c r="DN205" s="614">
        <v>11805</v>
      </c>
      <c r="DO205" s="614">
        <v>5587</v>
      </c>
      <c r="DP205" s="614">
        <v>2806</v>
      </c>
      <c r="DQ205" s="614">
        <v>1292</v>
      </c>
      <c r="DR205" s="614">
        <v>410</v>
      </c>
      <c r="DS205" s="615">
        <v>59</v>
      </c>
      <c r="DT205" s="607">
        <f t="shared" si="3"/>
        <v>45616</v>
      </c>
      <c r="DU205" s="342"/>
      <c r="EC205" s="646"/>
      <c r="EF205" s="127"/>
      <c r="EG205" s="124"/>
    </row>
    <row r="206" spans="1:137" ht="15">
      <c r="A206" s="22">
        <v>198</v>
      </c>
      <c r="B206" s="23" t="s">
        <v>528</v>
      </c>
      <c r="C206" s="24" t="s">
        <v>529</v>
      </c>
      <c r="D206" s="613"/>
      <c r="E206" s="626">
        <v>34585</v>
      </c>
      <c r="F206" s="626">
        <v>13715</v>
      </c>
      <c r="G206" s="626">
        <v>10403</v>
      </c>
      <c r="H206" s="626">
        <v>6829</v>
      </c>
      <c r="I206" s="626">
        <v>3229</v>
      </c>
      <c r="J206" s="626">
        <v>1233</v>
      </c>
      <c r="K206" s="626">
        <v>441</v>
      </c>
      <c r="L206" s="626">
        <v>22</v>
      </c>
      <c r="M206" s="627">
        <v>70457</v>
      </c>
      <c r="N206" s="322"/>
      <c r="O206" s="323">
        <v>1165</v>
      </c>
      <c r="P206" s="323">
        <v>288</v>
      </c>
      <c r="Q206" s="323">
        <v>188</v>
      </c>
      <c r="R206" s="323">
        <v>98</v>
      </c>
      <c r="S206" s="323">
        <v>40</v>
      </c>
      <c r="T206" s="323">
        <v>18</v>
      </c>
      <c r="U206" s="323">
        <v>9</v>
      </c>
      <c r="V206" s="323">
        <v>3</v>
      </c>
      <c r="W206" s="323">
        <v>1809</v>
      </c>
      <c r="X206" s="329" t="s">
        <v>934</v>
      </c>
      <c r="Y206" s="330">
        <v>2</v>
      </c>
      <c r="Z206" s="330">
        <v>0</v>
      </c>
      <c r="AA206" s="330">
        <v>0</v>
      </c>
      <c r="AB206" s="330">
        <v>0</v>
      </c>
      <c r="AC206" s="330">
        <v>0</v>
      </c>
      <c r="AD206" s="330">
        <v>0</v>
      </c>
      <c r="AE206" s="330">
        <v>0</v>
      </c>
      <c r="AF206" s="330">
        <v>0</v>
      </c>
      <c r="AG206" s="328">
        <v>2</v>
      </c>
      <c r="AH206" s="329" t="s">
        <v>934</v>
      </c>
      <c r="AI206" s="184">
        <v>66</v>
      </c>
      <c r="AJ206" s="184">
        <v>66</v>
      </c>
      <c r="AK206" s="184">
        <v>95</v>
      </c>
      <c r="AL206" s="184">
        <v>59</v>
      </c>
      <c r="AM206" s="184">
        <v>53</v>
      </c>
      <c r="AN206" s="184">
        <v>25</v>
      </c>
      <c r="AO206" s="184">
        <v>30</v>
      </c>
      <c r="AP206" s="184">
        <v>11</v>
      </c>
      <c r="AQ206" s="336">
        <v>405</v>
      </c>
      <c r="AR206" s="323">
        <v>21</v>
      </c>
      <c r="AS206" s="323">
        <v>14470</v>
      </c>
      <c r="AT206" s="323">
        <v>3967</v>
      </c>
      <c r="AU206" s="323">
        <v>2421</v>
      </c>
      <c r="AV206" s="323">
        <v>1027</v>
      </c>
      <c r="AW206" s="323">
        <v>400</v>
      </c>
      <c r="AX206" s="323">
        <v>123</v>
      </c>
      <c r="AY206" s="323">
        <v>33</v>
      </c>
      <c r="AZ206" s="323">
        <v>0</v>
      </c>
      <c r="BA206" s="323">
        <v>22462</v>
      </c>
      <c r="BB206" s="331">
        <v>2</v>
      </c>
      <c r="BC206" s="330">
        <v>136</v>
      </c>
      <c r="BD206" s="330">
        <v>75</v>
      </c>
      <c r="BE206" s="330">
        <v>57</v>
      </c>
      <c r="BF206" s="330">
        <v>40</v>
      </c>
      <c r="BG206" s="330">
        <v>14</v>
      </c>
      <c r="BH206" s="330">
        <v>7</v>
      </c>
      <c r="BI206" s="330">
        <v>0</v>
      </c>
      <c r="BJ206" s="330">
        <v>0</v>
      </c>
      <c r="BK206" s="328">
        <v>331</v>
      </c>
      <c r="BL206" s="323">
        <v>0</v>
      </c>
      <c r="BM206" s="323">
        <v>19</v>
      </c>
      <c r="BN206" s="323">
        <v>21</v>
      </c>
      <c r="BO206" s="323">
        <v>10</v>
      </c>
      <c r="BP206" s="323">
        <v>11</v>
      </c>
      <c r="BQ206" s="323">
        <v>18</v>
      </c>
      <c r="BR206" s="323">
        <v>22</v>
      </c>
      <c r="BS206" s="323">
        <v>13</v>
      </c>
      <c r="BT206" s="323">
        <v>0</v>
      </c>
      <c r="BU206" s="323">
        <v>114</v>
      </c>
      <c r="BV206" s="329" t="s">
        <v>934</v>
      </c>
      <c r="BW206" s="330">
        <v>147</v>
      </c>
      <c r="BX206" s="330">
        <v>73</v>
      </c>
      <c r="BY206" s="330">
        <v>52</v>
      </c>
      <c r="BZ206" s="330">
        <v>40</v>
      </c>
      <c r="CA206" s="330">
        <v>18</v>
      </c>
      <c r="CB206" s="330">
        <v>15</v>
      </c>
      <c r="CC206" s="330">
        <v>5</v>
      </c>
      <c r="CD206" s="330">
        <v>0</v>
      </c>
      <c r="CE206" s="328">
        <v>350</v>
      </c>
      <c r="CF206" s="322" t="s">
        <v>934</v>
      </c>
      <c r="CG206" s="323">
        <v>0</v>
      </c>
      <c r="CH206" s="323">
        <v>0</v>
      </c>
      <c r="CI206" s="323">
        <v>0</v>
      </c>
      <c r="CJ206" s="323">
        <v>0</v>
      </c>
      <c r="CK206" s="323">
        <v>0</v>
      </c>
      <c r="CL206" s="323">
        <v>0</v>
      </c>
      <c r="CM206" s="323">
        <v>0</v>
      </c>
      <c r="CN206" s="323">
        <v>0</v>
      </c>
      <c r="CO206" s="323">
        <v>0</v>
      </c>
      <c r="CP206" s="329" t="s">
        <v>934</v>
      </c>
      <c r="CQ206" s="330">
        <v>550</v>
      </c>
      <c r="CR206" s="330">
        <v>135</v>
      </c>
      <c r="CS206" s="330">
        <v>108</v>
      </c>
      <c r="CT206" s="330">
        <v>69</v>
      </c>
      <c r="CU206" s="330">
        <v>31</v>
      </c>
      <c r="CV206" s="330">
        <v>25</v>
      </c>
      <c r="CW206" s="330">
        <v>6</v>
      </c>
      <c r="CX206" s="330">
        <v>0</v>
      </c>
      <c r="CY206" s="328">
        <v>924</v>
      </c>
      <c r="CZ206" s="322" t="s">
        <v>934</v>
      </c>
      <c r="DA206" s="323">
        <v>0</v>
      </c>
      <c r="DB206" s="323">
        <v>0</v>
      </c>
      <c r="DC206" s="323">
        <v>0</v>
      </c>
      <c r="DD206" s="323">
        <v>0</v>
      </c>
      <c r="DE206" s="323">
        <v>0</v>
      </c>
      <c r="DF206" s="323">
        <v>0</v>
      </c>
      <c r="DG206" s="323">
        <v>0</v>
      </c>
      <c r="DH206" s="323">
        <v>0</v>
      </c>
      <c r="DI206" s="323">
        <v>0</v>
      </c>
      <c r="DJ206" s="337">
        <v>45.9</v>
      </c>
      <c r="DK206" s="644">
        <v>50493.4</v>
      </c>
      <c r="DL206" s="614">
        <v>34683</v>
      </c>
      <c r="DM206" s="614">
        <v>13972</v>
      </c>
      <c r="DN206" s="614">
        <v>10498</v>
      </c>
      <c r="DO206" s="614">
        <v>6936</v>
      </c>
      <c r="DP206" s="614">
        <v>3327</v>
      </c>
      <c r="DQ206" s="614">
        <v>1267</v>
      </c>
      <c r="DR206" s="614">
        <v>452</v>
      </c>
      <c r="DS206" s="615">
        <v>22</v>
      </c>
      <c r="DT206" s="607">
        <f t="shared" si="3"/>
        <v>71157</v>
      </c>
      <c r="DU206" s="342"/>
      <c r="EC206" s="646"/>
      <c r="EF206" s="123"/>
      <c r="EG206" s="124"/>
    </row>
    <row r="207" spans="1:137" ht="15">
      <c r="A207" s="22">
        <v>199</v>
      </c>
      <c r="B207" s="23" t="s">
        <v>530</v>
      </c>
      <c r="C207" s="24" t="s">
        <v>531</v>
      </c>
      <c r="D207" s="613"/>
      <c r="E207" s="628">
        <v>10797</v>
      </c>
      <c r="F207" s="628">
        <v>13690</v>
      </c>
      <c r="G207" s="628">
        <v>10871</v>
      </c>
      <c r="H207" s="628">
        <v>8371</v>
      </c>
      <c r="I207" s="628">
        <v>4403</v>
      </c>
      <c r="J207" s="628">
        <v>2007</v>
      </c>
      <c r="K207" s="628">
        <v>999</v>
      </c>
      <c r="L207" s="628">
        <v>83</v>
      </c>
      <c r="M207" s="627">
        <v>51221</v>
      </c>
      <c r="N207" s="322"/>
      <c r="O207" s="323">
        <v>673</v>
      </c>
      <c r="P207" s="323">
        <v>426</v>
      </c>
      <c r="Q207" s="323">
        <v>236</v>
      </c>
      <c r="R207" s="323">
        <v>154</v>
      </c>
      <c r="S207" s="323">
        <v>71</v>
      </c>
      <c r="T207" s="323">
        <v>27</v>
      </c>
      <c r="U207" s="323">
        <v>29</v>
      </c>
      <c r="V207" s="323">
        <v>4</v>
      </c>
      <c r="W207" s="323">
        <v>1620</v>
      </c>
      <c r="X207" s="329" t="s">
        <v>934</v>
      </c>
      <c r="Y207" s="330">
        <v>0</v>
      </c>
      <c r="Z207" s="330">
        <v>1</v>
      </c>
      <c r="AA207" s="330">
        <v>0</v>
      </c>
      <c r="AB207" s="330">
        <v>0</v>
      </c>
      <c r="AC207" s="330">
        <v>0</v>
      </c>
      <c r="AD207" s="330">
        <v>0</v>
      </c>
      <c r="AE207" s="330">
        <v>0</v>
      </c>
      <c r="AF207" s="330">
        <v>0</v>
      </c>
      <c r="AG207" s="328">
        <v>1</v>
      </c>
      <c r="AH207" s="329" t="s">
        <v>934</v>
      </c>
      <c r="AI207" s="184">
        <v>28</v>
      </c>
      <c r="AJ207" s="184">
        <v>72</v>
      </c>
      <c r="AK207" s="184">
        <v>75</v>
      </c>
      <c r="AL207" s="184">
        <v>98</v>
      </c>
      <c r="AM207" s="184">
        <v>59</v>
      </c>
      <c r="AN207" s="184">
        <v>33</v>
      </c>
      <c r="AO207" s="184">
        <v>32</v>
      </c>
      <c r="AP207" s="184">
        <v>6</v>
      </c>
      <c r="AQ207" s="336">
        <v>403</v>
      </c>
      <c r="AR207" s="323">
        <v>4</v>
      </c>
      <c r="AS207" s="323">
        <v>4171</v>
      </c>
      <c r="AT207" s="323">
        <v>4195</v>
      </c>
      <c r="AU207" s="323">
        <v>2965</v>
      </c>
      <c r="AV207" s="323">
        <v>1947</v>
      </c>
      <c r="AW207" s="323">
        <v>783</v>
      </c>
      <c r="AX207" s="323">
        <v>321</v>
      </c>
      <c r="AY207" s="323">
        <v>136</v>
      </c>
      <c r="AZ207" s="323">
        <v>9</v>
      </c>
      <c r="BA207" s="323">
        <v>14531</v>
      </c>
      <c r="BB207" s="331">
        <v>1</v>
      </c>
      <c r="BC207" s="330">
        <v>37</v>
      </c>
      <c r="BD207" s="330">
        <v>61</v>
      </c>
      <c r="BE207" s="330">
        <v>33</v>
      </c>
      <c r="BF207" s="330">
        <v>35</v>
      </c>
      <c r="BG207" s="330">
        <v>21</v>
      </c>
      <c r="BH207" s="330">
        <v>10</v>
      </c>
      <c r="BI207" s="330">
        <v>2</v>
      </c>
      <c r="BJ207" s="330">
        <v>0</v>
      </c>
      <c r="BK207" s="328">
        <v>200</v>
      </c>
      <c r="BL207" s="323">
        <v>2</v>
      </c>
      <c r="BM207" s="323">
        <v>4</v>
      </c>
      <c r="BN207" s="323">
        <v>8</v>
      </c>
      <c r="BO207" s="323">
        <v>14</v>
      </c>
      <c r="BP207" s="323">
        <v>16</v>
      </c>
      <c r="BQ207" s="323">
        <v>14</v>
      </c>
      <c r="BR207" s="323">
        <v>32</v>
      </c>
      <c r="BS207" s="323">
        <v>14</v>
      </c>
      <c r="BT207" s="323">
        <v>1</v>
      </c>
      <c r="BU207" s="323">
        <v>105</v>
      </c>
      <c r="BV207" s="329" t="s">
        <v>934</v>
      </c>
      <c r="BW207" s="330">
        <v>1820</v>
      </c>
      <c r="BX207" s="330">
        <v>850</v>
      </c>
      <c r="BY207" s="330">
        <v>960</v>
      </c>
      <c r="BZ207" s="330">
        <v>625</v>
      </c>
      <c r="CA207" s="330">
        <v>335</v>
      </c>
      <c r="CB207" s="330">
        <v>168</v>
      </c>
      <c r="CC207" s="330">
        <v>113</v>
      </c>
      <c r="CD207" s="330">
        <v>13</v>
      </c>
      <c r="CE207" s="328">
        <v>4884</v>
      </c>
      <c r="CF207" s="322" t="s">
        <v>934</v>
      </c>
      <c r="CG207" s="323">
        <v>0</v>
      </c>
      <c r="CH207" s="323">
        <v>0</v>
      </c>
      <c r="CI207" s="323">
        <v>0</v>
      </c>
      <c r="CJ207" s="323">
        <v>0</v>
      </c>
      <c r="CK207" s="323">
        <v>0</v>
      </c>
      <c r="CL207" s="323">
        <v>0</v>
      </c>
      <c r="CM207" s="323">
        <v>0</v>
      </c>
      <c r="CN207" s="323">
        <v>0</v>
      </c>
      <c r="CO207" s="323">
        <v>0</v>
      </c>
      <c r="CP207" s="329" t="s">
        <v>934</v>
      </c>
      <c r="CQ207" s="330">
        <v>167</v>
      </c>
      <c r="CR207" s="330">
        <v>159</v>
      </c>
      <c r="CS207" s="330">
        <v>116</v>
      </c>
      <c r="CT207" s="330">
        <v>67</v>
      </c>
      <c r="CU207" s="330">
        <v>34</v>
      </c>
      <c r="CV207" s="330">
        <v>20</v>
      </c>
      <c r="CW207" s="330">
        <v>8</v>
      </c>
      <c r="CX207" s="330">
        <v>1</v>
      </c>
      <c r="CY207" s="328">
        <v>572</v>
      </c>
      <c r="CZ207" s="322" t="s">
        <v>934</v>
      </c>
      <c r="DA207" s="323">
        <v>0</v>
      </c>
      <c r="DB207" s="323">
        <v>0</v>
      </c>
      <c r="DC207" s="323">
        <v>0</v>
      </c>
      <c r="DD207" s="323">
        <v>0</v>
      </c>
      <c r="DE207" s="323">
        <v>0</v>
      </c>
      <c r="DF207" s="323">
        <v>0</v>
      </c>
      <c r="DG207" s="323">
        <v>0</v>
      </c>
      <c r="DH207" s="323">
        <v>0</v>
      </c>
      <c r="DI207" s="323">
        <v>0</v>
      </c>
      <c r="DJ207" s="337">
        <v>27.7</v>
      </c>
      <c r="DK207" s="644">
        <v>39537.1</v>
      </c>
      <c r="DL207" s="614">
        <v>10912</v>
      </c>
      <c r="DM207" s="614">
        <v>13746</v>
      </c>
      <c r="DN207" s="614">
        <v>10959</v>
      </c>
      <c r="DO207" s="614">
        <v>8435</v>
      </c>
      <c r="DP207" s="614">
        <v>4428</v>
      </c>
      <c r="DQ207" s="614">
        <v>2041</v>
      </c>
      <c r="DR207" s="614">
        <v>999</v>
      </c>
      <c r="DS207" s="615">
        <v>82</v>
      </c>
      <c r="DT207" s="607">
        <f t="shared" si="3"/>
        <v>51602</v>
      </c>
      <c r="DU207" s="342"/>
      <c r="EC207" s="646"/>
      <c r="EF207" s="126"/>
      <c r="EG207" s="124"/>
    </row>
    <row r="208" spans="1:137" ht="15">
      <c r="A208" s="22">
        <v>200</v>
      </c>
      <c r="B208" s="23" t="s">
        <v>532</v>
      </c>
      <c r="C208" s="24" t="s">
        <v>533</v>
      </c>
      <c r="D208" s="613"/>
      <c r="E208" s="628">
        <v>4864</v>
      </c>
      <c r="F208" s="628">
        <v>6347</v>
      </c>
      <c r="G208" s="628">
        <v>4687</v>
      </c>
      <c r="H208" s="628">
        <v>3951</v>
      </c>
      <c r="I208" s="628">
        <v>3344</v>
      </c>
      <c r="J208" s="628">
        <v>1696</v>
      </c>
      <c r="K208" s="628">
        <v>779</v>
      </c>
      <c r="L208" s="628">
        <v>52</v>
      </c>
      <c r="M208" s="627">
        <v>25720</v>
      </c>
      <c r="N208" s="322"/>
      <c r="O208" s="323">
        <v>340</v>
      </c>
      <c r="P208" s="323">
        <v>151</v>
      </c>
      <c r="Q208" s="323">
        <v>179</v>
      </c>
      <c r="R208" s="323">
        <v>104</v>
      </c>
      <c r="S208" s="323">
        <v>72</v>
      </c>
      <c r="T208" s="323">
        <v>34</v>
      </c>
      <c r="U208" s="323">
        <v>28</v>
      </c>
      <c r="V208" s="323">
        <v>9</v>
      </c>
      <c r="W208" s="323">
        <v>917</v>
      </c>
      <c r="X208" s="329" t="s">
        <v>934</v>
      </c>
      <c r="Y208" s="330">
        <v>1</v>
      </c>
      <c r="Z208" s="330">
        <v>0</v>
      </c>
      <c r="AA208" s="330">
        <v>0</v>
      </c>
      <c r="AB208" s="330">
        <v>0</v>
      </c>
      <c r="AC208" s="330">
        <v>0</v>
      </c>
      <c r="AD208" s="330">
        <v>0</v>
      </c>
      <c r="AE208" s="330">
        <v>0</v>
      </c>
      <c r="AF208" s="330">
        <v>0</v>
      </c>
      <c r="AG208" s="328">
        <v>1</v>
      </c>
      <c r="AH208" s="329" t="s">
        <v>934</v>
      </c>
      <c r="AI208" s="184">
        <v>12</v>
      </c>
      <c r="AJ208" s="184">
        <v>49</v>
      </c>
      <c r="AK208" s="184">
        <v>42</v>
      </c>
      <c r="AL208" s="184">
        <v>33</v>
      </c>
      <c r="AM208" s="184">
        <v>36</v>
      </c>
      <c r="AN208" s="184">
        <v>21</v>
      </c>
      <c r="AO208" s="184">
        <v>16</v>
      </c>
      <c r="AP208" s="184">
        <v>5</v>
      </c>
      <c r="AQ208" s="336">
        <v>214</v>
      </c>
      <c r="AR208" s="323">
        <v>3</v>
      </c>
      <c r="AS208" s="323">
        <v>2364</v>
      </c>
      <c r="AT208" s="323">
        <v>2039</v>
      </c>
      <c r="AU208" s="323">
        <v>1220</v>
      </c>
      <c r="AV208" s="323">
        <v>849</v>
      </c>
      <c r="AW208" s="323">
        <v>525</v>
      </c>
      <c r="AX208" s="323">
        <v>197</v>
      </c>
      <c r="AY208" s="323">
        <v>76</v>
      </c>
      <c r="AZ208" s="323">
        <v>4</v>
      </c>
      <c r="BA208" s="323">
        <v>7277</v>
      </c>
      <c r="BB208" s="331">
        <v>0</v>
      </c>
      <c r="BC208" s="330">
        <v>29</v>
      </c>
      <c r="BD208" s="330">
        <v>53</v>
      </c>
      <c r="BE208" s="330">
        <v>32</v>
      </c>
      <c r="BF208" s="330">
        <v>28</v>
      </c>
      <c r="BG208" s="330">
        <v>22</v>
      </c>
      <c r="BH208" s="330">
        <v>10</v>
      </c>
      <c r="BI208" s="330">
        <v>4</v>
      </c>
      <c r="BJ208" s="330">
        <v>0</v>
      </c>
      <c r="BK208" s="328">
        <v>178</v>
      </c>
      <c r="BL208" s="323">
        <v>0</v>
      </c>
      <c r="BM208" s="323">
        <v>1</v>
      </c>
      <c r="BN208" s="323">
        <v>2</v>
      </c>
      <c r="BO208" s="323">
        <v>0</v>
      </c>
      <c r="BP208" s="323">
        <v>2</v>
      </c>
      <c r="BQ208" s="323">
        <v>2</v>
      </c>
      <c r="BR208" s="323">
        <v>8</v>
      </c>
      <c r="BS208" s="323">
        <v>6</v>
      </c>
      <c r="BT208" s="323">
        <v>4</v>
      </c>
      <c r="BU208" s="323">
        <v>25</v>
      </c>
      <c r="BV208" s="329" t="s">
        <v>934</v>
      </c>
      <c r="BW208" s="330">
        <v>29</v>
      </c>
      <c r="BX208" s="330">
        <v>23</v>
      </c>
      <c r="BY208" s="330">
        <v>21</v>
      </c>
      <c r="BZ208" s="330">
        <v>19</v>
      </c>
      <c r="CA208" s="330">
        <v>8</v>
      </c>
      <c r="CB208" s="330">
        <v>9</v>
      </c>
      <c r="CC208" s="330">
        <v>6</v>
      </c>
      <c r="CD208" s="330">
        <v>0</v>
      </c>
      <c r="CE208" s="328">
        <v>115</v>
      </c>
      <c r="CF208" s="322" t="s">
        <v>934</v>
      </c>
      <c r="CG208" s="323">
        <v>139</v>
      </c>
      <c r="CH208" s="323">
        <v>76</v>
      </c>
      <c r="CI208" s="323">
        <v>63</v>
      </c>
      <c r="CJ208" s="323">
        <v>54</v>
      </c>
      <c r="CK208" s="323">
        <v>46</v>
      </c>
      <c r="CL208" s="323">
        <v>17</v>
      </c>
      <c r="CM208" s="323">
        <v>12</v>
      </c>
      <c r="CN208" s="323">
        <v>1</v>
      </c>
      <c r="CO208" s="323">
        <v>408</v>
      </c>
      <c r="CP208" s="329" t="s">
        <v>934</v>
      </c>
      <c r="CQ208" s="330">
        <v>0</v>
      </c>
      <c r="CR208" s="330">
        <v>0</v>
      </c>
      <c r="CS208" s="330">
        <v>0</v>
      </c>
      <c r="CT208" s="330">
        <v>0</v>
      </c>
      <c r="CU208" s="330">
        <v>0</v>
      </c>
      <c r="CV208" s="330">
        <v>0</v>
      </c>
      <c r="CW208" s="330">
        <v>0</v>
      </c>
      <c r="CX208" s="330">
        <v>0</v>
      </c>
      <c r="CY208" s="328">
        <v>0</v>
      </c>
      <c r="CZ208" s="322" t="s">
        <v>934</v>
      </c>
      <c r="DA208" s="323">
        <v>0</v>
      </c>
      <c r="DB208" s="323">
        <v>0</v>
      </c>
      <c r="DC208" s="323">
        <v>0</v>
      </c>
      <c r="DD208" s="323">
        <v>0</v>
      </c>
      <c r="DE208" s="323">
        <v>0</v>
      </c>
      <c r="DF208" s="323">
        <v>0</v>
      </c>
      <c r="DG208" s="323">
        <v>0</v>
      </c>
      <c r="DH208" s="323">
        <v>0</v>
      </c>
      <c r="DI208" s="323">
        <v>0</v>
      </c>
      <c r="DJ208" s="337">
        <v>277.1</v>
      </c>
      <c r="DK208" s="644">
        <v>21835.2</v>
      </c>
      <c r="DL208" s="614">
        <v>4894</v>
      </c>
      <c r="DM208" s="614">
        <v>6364</v>
      </c>
      <c r="DN208" s="614">
        <v>4778</v>
      </c>
      <c r="DO208" s="614">
        <v>3973</v>
      </c>
      <c r="DP208" s="614">
        <v>3359</v>
      </c>
      <c r="DQ208" s="614">
        <v>1713</v>
      </c>
      <c r="DR208" s="614">
        <v>786</v>
      </c>
      <c r="DS208" s="615">
        <v>53</v>
      </c>
      <c r="DT208" s="607">
        <f t="shared" si="3"/>
        <v>25920</v>
      </c>
      <c r="DU208" s="342"/>
      <c r="EC208" s="646"/>
      <c r="EF208" s="123"/>
      <c r="EG208" s="124"/>
    </row>
    <row r="209" spans="1:137" ht="15">
      <c r="A209" s="22">
        <v>201</v>
      </c>
      <c r="B209" s="23" t="s">
        <v>534</v>
      </c>
      <c r="C209" s="24" t="s">
        <v>535</v>
      </c>
      <c r="D209" s="613"/>
      <c r="E209" s="626">
        <v>11797</v>
      </c>
      <c r="F209" s="626">
        <v>18718</v>
      </c>
      <c r="G209" s="626">
        <v>19906</v>
      </c>
      <c r="H209" s="626">
        <v>15179</v>
      </c>
      <c r="I209" s="626">
        <v>11343</v>
      </c>
      <c r="J209" s="626">
        <v>5824</v>
      </c>
      <c r="K209" s="626">
        <v>3165</v>
      </c>
      <c r="L209" s="626">
        <v>244</v>
      </c>
      <c r="M209" s="631">
        <v>86176</v>
      </c>
      <c r="N209" s="322"/>
      <c r="O209" s="323">
        <v>564</v>
      </c>
      <c r="P209" s="323">
        <v>459</v>
      </c>
      <c r="Q209" s="323">
        <v>392</v>
      </c>
      <c r="R209" s="323">
        <v>238</v>
      </c>
      <c r="S209" s="323">
        <v>154</v>
      </c>
      <c r="T209" s="323">
        <v>102</v>
      </c>
      <c r="U209" s="323">
        <v>51</v>
      </c>
      <c r="V209" s="323">
        <v>8</v>
      </c>
      <c r="W209" s="323">
        <v>1968</v>
      </c>
      <c r="X209" s="329" t="s">
        <v>934</v>
      </c>
      <c r="Y209" s="330">
        <v>0</v>
      </c>
      <c r="Z209" s="330">
        <v>0</v>
      </c>
      <c r="AA209" s="330">
        <v>0</v>
      </c>
      <c r="AB209" s="330">
        <v>0</v>
      </c>
      <c r="AC209" s="330">
        <v>0</v>
      </c>
      <c r="AD209" s="330">
        <v>0</v>
      </c>
      <c r="AE209" s="330">
        <v>0</v>
      </c>
      <c r="AF209" s="330">
        <v>0</v>
      </c>
      <c r="AG209" s="328">
        <v>0</v>
      </c>
      <c r="AH209" s="329" t="s">
        <v>934</v>
      </c>
      <c r="AI209" s="184">
        <v>14</v>
      </c>
      <c r="AJ209" s="184">
        <v>56</v>
      </c>
      <c r="AK209" s="184">
        <v>90</v>
      </c>
      <c r="AL209" s="184">
        <v>92</v>
      </c>
      <c r="AM209" s="184">
        <v>78</v>
      </c>
      <c r="AN209" s="184">
        <v>56</v>
      </c>
      <c r="AO209" s="184">
        <v>43</v>
      </c>
      <c r="AP209" s="184">
        <v>27</v>
      </c>
      <c r="AQ209" s="336">
        <v>456</v>
      </c>
      <c r="AR209" s="323">
        <v>6</v>
      </c>
      <c r="AS209" s="323">
        <v>6801</v>
      </c>
      <c r="AT209" s="323">
        <v>7785</v>
      </c>
      <c r="AU209" s="323">
        <v>6337</v>
      </c>
      <c r="AV209" s="323">
        <v>3610</v>
      </c>
      <c r="AW209" s="323">
        <v>2048</v>
      </c>
      <c r="AX209" s="323">
        <v>827</v>
      </c>
      <c r="AY209" s="323">
        <v>332</v>
      </c>
      <c r="AZ209" s="323">
        <v>18</v>
      </c>
      <c r="BA209" s="323">
        <v>27764</v>
      </c>
      <c r="BB209" s="331">
        <v>0</v>
      </c>
      <c r="BC209" s="330">
        <v>62</v>
      </c>
      <c r="BD209" s="330">
        <v>170</v>
      </c>
      <c r="BE209" s="330">
        <v>214</v>
      </c>
      <c r="BF209" s="330">
        <v>132</v>
      </c>
      <c r="BG209" s="330">
        <v>114</v>
      </c>
      <c r="BH209" s="330">
        <v>41</v>
      </c>
      <c r="BI209" s="330">
        <v>27</v>
      </c>
      <c r="BJ209" s="330">
        <v>4</v>
      </c>
      <c r="BK209" s="328">
        <v>764</v>
      </c>
      <c r="BL209" s="323">
        <v>0</v>
      </c>
      <c r="BM209" s="323">
        <v>4</v>
      </c>
      <c r="BN209" s="323">
        <v>5</v>
      </c>
      <c r="BO209" s="323">
        <v>5</v>
      </c>
      <c r="BP209" s="323">
        <v>15</v>
      </c>
      <c r="BQ209" s="323">
        <v>16</v>
      </c>
      <c r="BR209" s="323">
        <v>30</v>
      </c>
      <c r="BS209" s="323">
        <v>44</v>
      </c>
      <c r="BT209" s="323">
        <v>14</v>
      </c>
      <c r="BU209" s="323">
        <v>133</v>
      </c>
      <c r="BV209" s="329" t="s">
        <v>934</v>
      </c>
      <c r="BW209" s="330">
        <v>190</v>
      </c>
      <c r="BX209" s="330">
        <v>165</v>
      </c>
      <c r="BY209" s="330">
        <v>130</v>
      </c>
      <c r="BZ209" s="330">
        <v>112</v>
      </c>
      <c r="CA209" s="330">
        <v>67</v>
      </c>
      <c r="CB209" s="330">
        <v>28</v>
      </c>
      <c r="CC209" s="330">
        <v>15</v>
      </c>
      <c r="CD209" s="330">
        <v>2</v>
      </c>
      <c r="CE209" s="328">
        <v>709</v>
      </c>
      <c r="CF209" s="322" t="s">
        <v>934</v>
      </c>
      <c r="CG209" s="323">
        <v>110</v>
      </c>
      <c r="CH209" s="323">
        <v>83</v>
      </c>
      <c r="CI209" s="323">
        <v>69</v>
      </c>
      <c r="CJ209" s="323">
        <v>65</v>
      </c>
      <c r="CK209" s="323">
        <v>29</v>
      </c>
      <c r="CL209" s="323">
        <v>15</v>
      </c>
      <c r="CM209" s="323">
        <v>11</v>
      </c>
      <c r="CN209" s="323">
        <v>2</v>
      </c>
      <c r="CO209" s="323">
        <v>384</v>
      </c>
      <c r="CP209" s="329" t="s">
        <v>934</v>
      </c>
      <c r="CQ209" s="330">
        <v>0</v>
      </c>
      <c r="CR209" s="330">
        <v>0</v>
      </c>
      <c r="CS209" s="330">
        <v>0</v>
      </c>
      <c r="CT209" s="330">
        <v>0</v>
      </c>
      <c r="CU209" s="330">
        <v>0</v>
      </c>
      <c r="CV209" s="330">
        <v>0</v>
      </c>
      <c r="CW209" s="330">
        <v>0</v>
      </c>
      <c r="CX209" s="330">
        <v>0</v>
      </c>
      <c r="CY209" s="328">
        <v>0</v>
      </c>
      <c r="CZ209" s="322" t="s">
        <v>934</v>
      </c>
      <c r="DA209" s="323">
        <v>25</v>
      </c>
      <c r="DB209" s="323">
        <v>12</v>
      </c>
      <c r="DC209" s="323">
        <v>7</v>
      </c>
      <c r="DD209" s="323">
        <v>3</v>
      </c>
      <c r="DE209" s="323">
        <v>3</v>
      </c>
      <c r="DF209" s="323">
        <v>2</v>
      </c>
      <c r="DG209" s="323">
        <v>1</v>
      </c>
      <c r="DH209" s="323">
        <v>0</v>
      </c>
      <c r="DI209" s="323">
        <v>53</v>
      </c>
      <c r="DJ209" s="337">
        <v>0</v>
      </c>
      <c r="DK209" s="644">
        <v>74739.2</v>
      </c>
      <c r="DL209" s="614">
        <v>11897</v>
      </c>
      <c r="DM209" s="614">
        <v>19097</v>
      </c>
      <c r="DN209" s="614">
        <v>20105</v>
      </c>
      <c r="DO209" s="614">
        <v>15438</v>
      </c>
      <c r="DP209" s="614">
        <v>11453</v>
      </c>
      <c r="DQ209" s="614">
        <v>5884</v>
      </c>
      <c r="DR209" s="614">
        <v>3182</v>
      </c>
      <c r="DS209" s="615">
        <v>247</v>
      </c>
      <c r="DT209" s="607">
        <f t="shared" si="3"/>
        <v>87303</v>
      </c>
      <c r="DU209" s="342"/>
      <c r="EC209" s="646"/>
      <c r="EF209" s="123"/>
      <c r="EG209" s="124"/>
    </row>
    <row r="210" spans="1:137" ht="15">
      <c r="A210" s="22">
        <v>202</v>
      </c>
      <c r="B210" s="23" t="s">
        <v>536</v>
      </c>
      <c r="C210" s="24" t="s">
        <v>537</v>
      </c>
      <c r="D210" s="613"/>
      <c r="E210" s="632">
        <v>48820</v>
      </c>
      <c r="F210" s="632">
        <v>13825</v>
      </c>
      <c r="G210" s="632">
        <v>17746</v>
      </c>
      <c r="H210" s="632">
        <v>6992</v>
      </c>
      <c r="I210" s="632">
        <v>3012</v>
      </c>
      <c r="J210" s="632">
        <v>1041</v>
      </c>
      <c r="K210" s="632">
        <v>349</v>
      </c>
      <c r="L210" s="632">
        <v>38</v>
      </c>
      <c r="M210" s="627">
        <v>91823</v>
      </c>
      <c r="N210" s="322"/>
      <c r="O210" s="323">
        <v>1456</v>
      </c>
      <c r="P210" s="323">
        <v>332</v>
      </c>
      <c r="Q210" s="323">
        <v>348</v>
      </c>
      <c r="R210" s="323">
        <v>100</v>
      </c>
      <c r="S210" s="323">
        <v>43</v>
      </c>
      <c r="T210" s="323">
        <v>12</v>
      </c>
      <c r="U210" s="323">
        <v>10</v>
      </c>
      <c r="V210" s="323">
        <v>0</v>
      </c>
      <c r="W210" s="323">
        <v>2301</v>
      </c>
      <c r="X210" s="329" t="s">
        <v>934</v>
      </c>
      <c r="Y210" s="330">
        <v>5</v>
      </c>
      <c r="Z210" s="330">
        <v>2</v>
      </c>
      <c r="AA210" s="330">
        <v>0</v>
      </c>
      <c r="AB210" s="330">
        <v>0</v>
      </c>
      <c r="AC210" s="330">
        <v>1</v>
      </c>
      <c r="AD210" s="330">
        <v>0</v>
      </c>
      <c r="AE210" s="330">
        <v>0</v>
      </c>
      <c r="AF210" s="330">
        <v>0</v>
      </c>
      <c r="AG210" s="328">
        <v>8</v>
      </c>
      <c r="AH210" s="329" t="s">
        <v>934</v>
      </c>
      <c r="AI210" s="184">
        <v>229</v>
      </c>
      <c r="AJ210" s="184">
        <v>82</v>
      </c>
      <c r="AK210" s="184">
        <v>126</v>
      </c>
      <c r="AL210" s="184">
        <v>60</v>
      </c>
      <c r="AM210" s="184">
        <v>38</v>
      </c>
      <c r="AN210" s="184">
        <v>9</v>
      </c>
      <c r="AO210" s="184">
        <v>11</v>
      </c>
      <c r="AP210" s="184">
        <v>25</v>
      </c>
      <c r="AQ210" s="336">
        <v>580</v>
      </c>
      <c r="AR210" s="323">
        <v>68</v>
      </c>
      <c r="AS210" s="323">
        <v>22643</v>
      </c>
      <c r="AT210" s="323">
        <v>4550</v>
      </c>
      <c r="AU210" s="323">
        <v>4455</v>
      </c>
      <c r="AV210" s="323">
        <v>1289</v>
      </c>
      <c r="AW210" s="323">
        <v>418</v>
      </c>
      <c r="AX210" s="323">
        <v>127</v>
      </c>
      <c r="AY210" s="323">
        <v>34</v>
      </c>
      <c r="AZ210" s="323">
        <v>0</v>
      </c>
      <c r="BA210" s="323">
        <v>33584</v>
      </c>
      <c r="BB210" s="331">
        <v>2</v>
      </c>
      <c r="BC210" s="330">
        <v>313</v>
      </c>
      <c r="BD210" s="330">
        <v>109</v>
      </c>
      <c r="BE210" s="330">
        <v>110</v>
      </c>
      <c r="BF210" s="330">
        <v>48</v>
      </c>
      <c r="BG210" s="330">
        <v>13</v>
      </c>
      <c r="BH210" s="330">
        <v>8</v>
      </c>
      <c r="BI210" s="330">
        <v>1</v>
      </c>
      <c r="BJ210" s="330">
        <v>0</v>
      </c>
      <c r="BK210" s="328">
        <v>604</v>
      </c>
      <c r="BL210" s="323">
        <v>2</v>
      </c>
      <c r="BM210" s="323">
        <v>18</v>
      </c>
      <c r="BN210" s="323">
        <v>13</v>
      </c>
      <c r="BO210" s="323">
        <v>13</v>
      </c>
      <c r="BP210" s="323">
        <v>13</v>
      </c>
      <c r="BQ210" s="323">
        <v>4</v>
      </c>
      <c r="BR210" s="323">
        <v>9</v>
      </c>
      <c r="BS210" s="323">
        <v>24</v>
      </c>
      <c r="BT210" s="323">
        <v>5</v>
      </c>
      <c r="BU210" s="323">
        <v>101</v>
      </c>
      <c r="BV210" s="329" t="s">
        <v>934</v>
      </c>
      <c r="BW210" s="330">
        <v>268</v>
      </c>
      <c r="BX210" s="330">
        <v>135</v>
      </c>
      <c r="BY210" s="330">
        <v>102</v>
      </c>
      <c r="BZ210" s="330">
        <v>50</v>
      </c>
      <c r="CA210" s="330">
        <v>15</v>
      </c>
      <c r="CB210" s="330">
        <v>4</v>
      </c>
      <c r="CC210" s="330">
        <v>4</v>
      </c>
      <c r="CD210" s="330">
        <v>0</v>
      </c>
      <c r="CE210" s="328">
        <v>578</v>
      </c>
      <c r="CF210" s="322" t="s">
        <v>934</v>
      </c>
      <c r="CG210" s="323">
        <v>719</v>
      </c>
      <c r="CH210" s="323">
        <v>142</v>
      </c>
      <c r="CI210" s="323">
        <v>133</v>
      </c>
      <c r="CJ210" s="323">
        <v>44</v>
      </c>
      <c r="CK210" s="323">
        <v>13</v>
      </c>
      <c r="CL210" s="323">
        <v>3</v>
      </c>
      <c r="CM210" s="323">
        <v>2</v>
      </c>
      <c r="CN210" s="323">
        <v>2</v>
      </c>
      <c r="CO210" s="323">
        <v>1058</v>
      </c>
      <c r="CP210" s="329" t="s">
        <v>934</v>
      </c>
      <c r="CQ210" s="330">
        <v>0</v>
      </c>
      <c r="CR210" s="330">
        <v>0</v>
      </c>
      <c r="CS210" s="330">
        <v>0</v>
      </c>
      <c r="CT210" s="330">
        <v>0</v>
      </c>
      <c r="CU210" s="330">
        <v>0</v>
      </c>
      <c r="CV210" s="330">
        <v>0</v>
      </c>
      <c r="CW210" s="330">
        <v>0</v>
      </c>
      <c r="CX210" s="330">
        <v>0</v>
      </c>
      <c r="CY210" s="328">
        <v>0</v>
      </c>
      <c r="CZ210" s="322" t="s">
        <v>934</v>
      </c>
      <c r="DA210" s="323">
        <v>0</v>
      </c>
      <c r="DB210" s="323">
        <v>0</v>
      </c>
      <c r="DC210" s="323">
        <v>0</v>
      </c>
      <c r="DD210" s="323">
        <v>0</v>
      </c>
      <c r="DE210" s="323">
        <v>0</v>
      </c>
      <c r="DF210" s="323">
        <v>0</v>
      </c>
      <c r="DG210" s="323">
        <v>0</v>
      </c>
      <c r="DH210" s="323">
        <v>0</v>
      </c>
      <c r="DI210" s="323">
        <v>0</v>
      </c>
      <c r="DJ210" s="337">
        <v>50</v>
      </c>
      <c r="DK210" s="644">
        <v>63191</v>
      </c>
      <c r="DL210" s="616">
        <v>49089</v>
      </c>
      <c r="DM210" s="616">
        <v>14142</v>
      </c>
      <c r="DN210" s="616">
        <v>17919</v>
      </c>
      <c r="DO210" s="616">
        <v>7060</v>
      </c>
      <c r="DP210" s="616">
        <v>3044</v>
      </c>
      <c r="DQ210" s="616">
        <v>1042</v>
      </c>
      <c r="DR210" s="616">
        <v>347</v>
      </c>
      <c r="DS210" s="617">
        <v>39</v>
      </c>
      <c r="DT210" s="607">
        <f t="shared" si="3"/>
        <v>92682</v>
      </c>
      <c r="DU210" s="342"/>
      <c r="EC210" s="646"/>
      <c r="EF210" s="125"/>
      <c r="EG210" s="124"/>
    </row>
    <row r="211" spans="1:137" ht="15">
      <c r="A211" s="22">
        <v>203</v>
      </c>
      <c r="B211" s="23" t="s">
        <v>538</v>
      </c>
      <c r="C211" s="24" t="s">
        <v>539</v>
      </c>
      <c r="D211" s="613"/>
      <c r="E211" s="634">
        <v>6273</v>
      </c>
      <c r="F211" s="634">
        <v>6710</v>
      </c>
      <c r="G211" s="634">
        <v>5609</v>
      </c>
      <c r="H211" s="634">
        <v>3635</v>
      </c>
      <c r="I211" s="634">
        <v>2102</v>
      </c>
      <c r="J211" s="634">
        <v>1178</v>
      </c>
      <c r="K211" s="634">
        <v>685</v>
      </c>
      <c r="L211" s="634">
        <v>68</v>
      </c>
      <c r="M211" s="635">
        <v>26260</v>
      </c>
      <c r="N211" s="322"/>
      <c r="O211" s="323">
        <v>215</v>
      </c>
      <c r="P211" s="323">
        <v>130</v>
      </c>
      <c r="Q211" s="323">
        <v>87</v>
      </c>
      <c r="R211" s="323">
        <v>51</v>
      </c>
      <c r="S211" s="323">
        <v>25</v>
      </c>
      <c r="T211" s="323">
        <v>15</v>
      </c>
      <c r="U211" s="323">
        <v>12</v>
      </c>
      <c r="V211" s="323">
        <v>2</v>
      </c>
      <c r="W211" s="323">
        <v>537</v>
      </c>
      <c r="X211" s="329" t="s">
        <v>934</v>
      </c>
      <c r="Y211" s="330">
        <v>0</v>
      </c>
      <c r="Z211" s="330">
        <v>0</v>
      </c>
      <c r="AA211" s="330">
        <v>0</v>
      </c>
      <c r="AB211" s="330">
        <v>0</v>
      </c>
      <c r="AC211" s="330">
        <v>0</v>
      </c>
      <c r="AD211" s="330">
        <v>0</v>
      </c>
      <c r="AE211" s="330">
        <v>0</v>
      </c>
      <c r="AF211" s="330">
        <v>0</v>
      </c>
      <c r="AG211" s="328">
        <v>0</v>
      </c>
      <c r="AH211" s="329" t="s">
        <v>934</v>
      </c>
      <c r="AI211" s="184">
        <v>16</v>
      </c>
      <c r="AJ211" s="184">
        <v>52</v>
      </c>
      <c r="AK211" s="184">
        <v>35</v>
      </c>
      <c r="AL211" s="184">
        <v>38</v>
      </c>
      <c r="AM211" s="184">
        <v>22</v>
      </c>
      <c r="AN211" s="184">
        <v>15</v>
      </c>
      <c r="AO211" s="184">
        <v>7</v>
      </c>
      <c r="AP211" s="184">
        <v>3</v>
      </c>
      <c r="AQ211" s="336">
        <v>188</v>
      </c>
      <c r="AR211" s="323">
        <v>5</v>
      </c>
      <c r="AS211" s="323">
        <v>2789</v>
      </c>
      <c r="AT211" s="323">
        <v>2229</v>
      </c>
      <c r="AU211" s="323">
        <v>1414</v>
      </c>
      <c r="AV211" s="323">
        <v>695</v>
      </c>
      <c r="AW211" s="323">
        <v>324</v>
      </c>
      <c r="AX211" s="323">
        <v>159</v>
      </c>
      <c r="AY211" s="323">
        <v>97</v>
      </c>
      <c r="AZ211" s="323">
        <v>7</v>
      </c>
      <c r="BA211" s="323">
        <v>7719</v>
      </c>
      <c r="BB211" s="331">
        <v>0</v>
      </c>
      <c r="BC211" s="330">
        <v>39</v>
      </c>
      <c r="BD211" s="330">
        <v>39</v>
      </c>
      <c r="BE211" s="330">
        <v>32</v>
      </c>
      <c r="BF211" s="330">
        <v>27</v>
      </c>
      <c r="BG211" s="330">
        <v>12</v>
      </c>
      <c r="BH211" s="330">
        <v>6</v>
      </c>
      <c r="BI211" s="330">
        <v>1</v>
      </c>
      <c r="BJ211" s="330">
        <v>0</v>
      </c>
      <c r="BK211" s="328">
        <v>156</v>
      </c>
      <c r="BL211" s="323">
        <v>0</v>
      </c>
      <c r="BM211" s="323">
        <v>6</v>
      </c>
      <c r="BN211" s="323">
        <v>9</v>
      </c>
      <c r="BO211" s="323">
        <v>6</v>
      </c>
      <c r="BP211" s="323">
        <v>4</v>
      </c>
      <c r="BQ211" s="323">
        <v>5</v>
      </c>
      <c r="BR211" s="323">
        <v>5</v>
      </c>
      <c r="BS211" s="323">
        <v>8</v>
      </c>
      <c r="BT211" s="323">
        <v>2</v>
      </c>
      <c r="BU211" s="323">
        <v>45</v>
      </c>
      <c r="BV211" s="329" t="s">
        <v>934</v>
      </c>
      <c r="BW211" s="330">
        <v>0</v>
      </c>
      <c r="BX211" s="330">
        <v>0</v>
      </c>
      <c r="BY211" s="330">
        <v>0</v>
      </c>
      <c r="BZ211" s="330">
        <v>0</v>
      </c>
      <c r="CA211" s="330">
        <v>0</v>
      </c>
      <c r="CB211" s="330">
        <v>0</v>
      </c>
      <c r="CC211" s="330">
        <v>0</v>
      </c>
      <c r="CD211" s="330">
        <v>0</v>
      </c>
      <c r="CE211" s="328">
        <v>0</v>
      </c>
      <c r="CF211" s="322" t="s">
        <v>934</v>
      </c>
      <c r="CG211" s="323">
        <v>169</v>
      </c>
      <c r="CH211" s="323">
        <v>113</v>
      </c>
      <c r="CI211" s="323">
        <v>72</v>
      </c>
      <c r="CJ211" s="323">
        <v>45</v>
      </c>
      <c r="CK211" s="323">
        <v>28</v>
      </c>
      <c r="CL211" s="323">
        <v>22</v>
      </c>
      <c r="CM211" s="323">
        <v>21</v>
      </c>
      <c r="CN211" s="323">
        <v>3</v>
      </c>
      <c r="CO211" s="323">
        <v>473</v>
      </c>
      <c r="CP211" s="329" t="s">
        <v>934</v>
      </c>
      <c r="CQ211" s="330">
        <v>0</v>
      </c>
      <c r="CR211" s="330">
        <v>0</v>
      </c>
      <c r="CS211" s="330">
        <v>0</v>
      </c>
      <c r="CT211" s="330">
        <v>0</v>
      </c>
      <c r="CU211" s="330">
        <v>0</v>
      </c>
      <c r="CV211" s="330">
        <v>0</v>
      </c>
      <c r="CW211" s="330">
        <v>0</v>
      </c>
      <c r="CX211" s="330">
        <v>0</v>
      </c>
      <c r="CY211" s="328">
        <v>0</v>
      </c>
      <c r="CZ211" s="322" t="s">
        <v>934</v>
      </c>
      <c r="DA211" s="323">
        <v>0</v>
      </c>
      <c r="DB211" s="323">
        <v>0</v>
      </c>
      <c r="DC211" s="323">
        <v>0</v>
      </c>
      <c r="DD211" s="323">
        <v>0</v>
      </c>
      <c r="DE211" s="323">
        <v>0</v>
      </c>
      <c r="DF211" s="323">
        <v>0</v>
      </c>
      <c r="DG211" s="323">
        <v>0</v>
      </c>
      <c r="DH211" s="323">
        <v>0</v>
      </c>
      <c r="DI211" s="323">
        <v>0</v>
      </c>
      <c r="DJ211" s="337">
        <v>0</v>
      </c>
      <c r="DK211" s="644">
        <v>21239.4</v>
      </c>
      <c r="DL211" s="618">
        <v>6328</v>
      </c>
      <c r="DM211" s="618">
        <v>6749</v>
      </c>
      <c r="DN211" s="618">
        <v>5655</v>
      </c>
      <c r="DO211" s="618">
        <v>3639</v>
      </c>
      <c r="DP211" s="618">
        <v>2117</v>
      </c>
      <c r="DQ211" s="618">
        <v>1176</v>
      </c>
      <c r="DR211" s="618">
        <v>686</v>
      </c>
      <c r="DS211" s="619">
        <v>69</v>
      </c>
      <c r="DT211" s="609">
        <f t="shared" si="3"/>
        <v>26419</v>
      </c>
      <c r="DU211" s="342"/>
      <c r="EC211" s="646"/>
      <c r="EF211" s="129"/>
      <c r="EG211" s="124"/>
    </row>
    <row r="212" spans="1:137" ht="15">
      <c r="A212" s="22">
        <v>204</v>
      </c>
      <c r="B212" s="23" t="s">
        <v>540</v>
      </c>
      <c r="C212" s="24" t="s">
        <v>541</v>
      </c>
      <c r="D212" s="613"/>
      <c r="E212" s="630">
        <v>9612</v>
      </c>
      <c r="F212" s="630">
        <v>12069</v>
      </c>
      <c r="G212" s="630">
        <v>6613</v>
      </c>
      <c r="H212" s="630">
        <v>5278</v>
      </c>
      <c r="I212" s="630">
        <v>3297</v>
      </c>
      <c r="J212" s="630">
        <v>1309</v>
      </c>
      <c r="K212" s="630">
        <v>852</v>
      </c>
      <c r="L212" s="630">
        <v>47</v>
      </c>
      <c r="M212" s="627">
        <v>39077</v>
      </c>
      <c r="N212" s="322"/>
      <c r="O212" s="323">
        <v>376</v>
      </c>
      <c r="P212" s="323">
        <v>253</v>
      </c>
      <c r="Q212" s="323">
        <v>152</v>
      </c>
      <c r="R212" s="323">
        <v>81</v>
      </c>
      <c r="S212" s="323">
        <v>33</v>
      </c>
      <c r="T212" s="323">
        <v>20</v>
      </c>
      <c r="U212" s="323">
        <v>28</v>
      </c>
      <c r="V212" s="323">
        <v>2</v>
      </c>
      <c r="W212" s="323">
        <v>945</v>
      </c>
      <c r="X212" s="329" t="s">
        <v>934</v>
      </c>
      <c r="Y212" s="330">
        <v>3</v>
      </c>
      <c r="Z212" s="330">
        <v>3</v>
      </c>
      <c r="AA212" s="330">
        <v>2</v>
      </c>
      <c r="AB212" s="330">
        <v>0</v>
      </c>
      <c r="AC212" s="330">
        <v>0</v>
      </c>
      <c r="AD212" s="330">
        <v>0</v>
      </c>
      <c r="AE212" s="330">
        <v>0</v>
      </c>
      <c r="AF212" s="330">
        <v>0</v>
      </c>
      <c r="AG212" s="328">
        <v>8</v>
      </c>
      <c r="AH212" s="329" t="s">
        <v>934</v>
      </c>
      <c r="AI212" s="184">
        <v>48</v>
      </c>
      <c r="AJ212" s="184">
        <v>93</v>
      </c>
      <c r="AK212" s="184">
        <v>64</v>
      </c>
      <c r="AL212" s="184">
        <v>51</v>
      </c>
      <c r="AM212" s="184">
        <v>25</v>
      </c>
      <c r="AN212" s="184">
        <v>13</v>
      </c>
      <c r="AO212" s="184">
        <v>14</v>
      </c>
      <c r="AP212" s="184">
        <v>7</v>
      </c>
      <c r="AQ212" s="336">
        <v>315</v>
      </c>
      <c r="AR212" s="323">
        <v>11</v>
      </c>
      <c r="AS212" s="323">
        <v>4548</v>
      </c>
      <c r="AT212" s="323">
        <v>3972</v>
      </c>
      <c r="AU212" s="323">
        <v>1709</v>
      </c>
      <c r="AV212" s="323">
        <v>982</v>
      </c>
      <c r="AW212" s="323">
        <v>442</v>
      </c>
      <c r="AX212" s="323">
        <v>140</v>
      </c>
      <c r="AY212" s="323">
        <v>94</v>
      </c>
      <c r="AZ212" s="323">
        <v>3</v>
      </c>
      <c r="BA212" s="323">
        <v>11901</v>
      </c>
      <c r="BB212" s="331">
        <v>5</v>
      </c>
      <c r="BC212" s="330">
        <v>63</v>
      </c>
      <c r="BD212" s="330">
        <v>87</v>
      </c>
      <c r="BE212" s="330">
        <v>45</v>
      </c>
      <c r="BF212" s="330">
        <v>30</v>
      </c>
      <c r="BG212" s="330">
        <v>16</v>
      </c>
      <c r="BH212" s="330">
        <v>6</v>
      </c>
      <c r="BI212" s="330">
        <v>3</v>
      </c>
      <c r="BJ212" s="330">
        <v>1</v>
      </c>
      <c r="BK212" s="328">
        <v>256</v>
      </c>
      <c r="BL212" s="323">
        <v>0</v>
      </c>
      <c r="BM212" s="323">
        <v>5</v>
      </c>
      <c r="BN212" s="323">
        <v>4</v>
      </c>
      <c r="BO212" s="323">
        <v>6</v>
      </c>
      <c r="BP212" s="323">
        <v>4</v>
      </c>
      <c r="BQ212" s="323">
        <v>4</v>
      </c>
      <c r="BR212" s="323">
        <v>8</v>
      </c>
      <c r="BS212" s="323">
        <v>9</v>
      </c>
      <c r="BT212" s="323">
        <v>0</v>
      </c>
      <c r="BU212" s="323">
        <v>40</v>
      </c>
      <c r="BV212" s="329" t="s">
        <v>934</v>
      </c>
      <c r="BW212" s="330">
        <v>41</v>
      </c>
      <c r="BX212" s="330">
        <v>43</v>
      </c>
      <c r="BY212" s="330">
        <v>14</v>
      </c>
      <c r="BZ212" s="330">
        <v>13</v>
      </c>
      <c r="CA212" s="330">
        <v>6</v>
      </c>
      <c r="CB212" s="330">
        <v>8</v>
      </c>
      <c r="CC212" s="330">
        <v>8</v>
      </c>
      <c r="CD212" s="330">
        <v>1</v>
      </c>
      <c r="CE212" s="328">
        <v>134</v>
      </c>
      <c r="CF212" s="322" t="s">
        <v>934</v>
      </c>
      <c r="CG212" s="323">
        <v>4</v>
      </c>
      <c r="CH212" s="323">
        <v>2</v>
      </c>
      <c r="CI212" s="323">
        <v>0</v>
      </c>
      <c r="CJ212" s="323">
        <v>0</v>
      </c>
      <c r="CK212" s="323">
        <v>1</v>
      </c>
      <c r="CL212" s="323">
        <v>0</v>
      </c>
      <c r="CM212" s="323">
        <v>0</v>
      </c>
      <c r="CN212" s="323">
        <v>0</v>
      </c>
      <c r="CO212" s="323">
        <v>7</v>
      </c>
      <c r="CP212" s="329" t="s">
        <v>934</v>
      </c>
      <c r="CQ212" s="330">
        <v>161</v>
      </c>
      <c r="CR212" s="330">
        <v>76</v>
      </c>
      <c r="CS212" s="330">
        <v>54</v>
      </c>
      <c r="CT212" s="330">
        <v>29</v>
      </c>
      <c r="CU212" s="330">
        <v>19</v>
      </c>
      <c r="CV212" s="330">
        <v>6</v>
      </c>
      <c r="CW212" s="330">
        <v>13</v>
      </c>
      <c r="CX212" s="330">
        <v>0</v>
      </c>
      <c r="CY212" s="328">
        <v>358</v>
      </c>
      <c r="CZ212" s="322" t="s">
        <v>934</v>
      </c>
      <c r="DA212" s="323">
        <v>201</v>
      </c>
      <c r="DB212" s="323">
        <v>120</v>
      </c>
      <c r="DC212" s="323">
        <v>66</v>
      </c>
      <c r="DD212" s="323">
        <v>42</v>
      </c>
      <c r="DE212" s="323">
        <v>25</v>
      </c>
      <c r="DF212" s="323">
        <v>14</v>
      </c>
      <c r="DG212" s="323">
        <v>21</v>
      </c>
      <c r="DH212" s="323">
        <v>1</v>
      </c>
      <c r="DI212" s="323">
        <v>490</v>
      </c>
      <c r="DJ212" s="337">
        <v>0</v>
      </c>
      <c r="DK212" s="644">
        <v>30987.7</v>
      </c>
      <c r="DL212" s="614">
        <v>9651</v>
      </c>
      <c r="DM212" s="614">
        <v>12202</v>
      </c>
      <c r="DN212" s="614">
        <v>6660</v>
      </c>
      <c r="DO212" s="614">
        <v>5379</v>
      </c>
      <c r="DP212" s="614">
        <v>3278</v>
      </c>
      <c r="DQ212" s="614">
        <v>1310</v>
      </c>
      <c r="DR212" s="614">
        <v>855</v>
      </c>
      <c r="DS212" s="615">
        <v>47</v>
      </c>
      <c r="DT212" s="607">
        <f t="shared" si="3"/>
        <v>39382</v>
      </c>
      <c r="DU212" s="342"/>
      <c r="EC212" s="646"/>
      <c r="EF212" s="127"/>
      <c r="EG212" s="124"/>
    </row>
    <row r="213" spans="1:137" ht="15">
      <c r="A213" s="22">
        <v>205</v>
      </c>
      <c r="B213" s="23" t="s">
        <v>542</v>
      </c>
      <c r="C213" s="24" t="s">
        <v>543</v>
      </c>
      <c r="D213" s="613"/>
      <c r="E213" s="626">
        <v>6300</v>
      </c>
      <c r="F213" s="626">
        <v>10280</v>
      </c>
      <c r="G213" s="626">
        <v>13910</v>
      </c>
      <c r="H213" s="626">
        <v>9579</v>
      </c>
      <c r="I213" s="626">
        <v>7816</v>
      </c>
      <c r="J213" s="626">
        <v>4762</v>
      </c>
      <c r="K213" s="626">
        <v>2594</v>
      </c>
      <c r="L213" s="626">
        <v>319</v>
      </c>
      <c r="M213" s="631">
        <v>55560</v>
      </c>
      <c r="N213" s="322"/>
      <c r="O213" s="323">
        <v>353</v>
      </c>
      <c r="P213" s="323">
        <v>467</v>
      </c>
      <c r="Q213" s="323">
        <v>1039</v>
      </c>
      <c r="R213" s="323">
        <v>341</v>
      </c>
      <c r="S213" s="323">
        <v>288</v>
      </c>
      <c r="T213" s="323">
        <v>63</v>
      </c>
      <c r="U213" s="323">
        <v>49</v>
      </c>
      <c r="V213" s="323">
        <v>13</v>
      </c>
      <c r="W213" s="323">
        <v>2613</v>
      </c>
      <c r="X213" s="329" t="s">
        <v>934</v>
      </c>
      <c r="Y213" s="330">
        <v>0</v>
      </c>
      <c r="Z213" s="330">
        <v>0</v>
      </c>
      <c r="AA213" s="330">
        <v>0</v>
      </c>
      <c r="AB213" s="330">
        <v>0</v>
      </c>
      <c r="AC213" s="330">
        <v>0</v>
      </c>
      <c r="AD213" s="330">
        <v>0</v>
      </c>
      <c r="AE213" s="330">
        <v>0</v>
      </c>
      <c r="AF213" s="330">
        <v>0</v>
      </c>
      <c r="AG213" s="328">
        <v>0</v>
      </c>
      <c r="AH213" s="329" t="s">
        <v>934</v>
      </c>
      <c r="AI213" s="184">
        <v>9</v>
      </c>
      <c r="AJ213" s="184">
        <v>41</v>
      </c>
      <c r="AK213" s="184">
        <v>71</v>
      </c>
      <c r="AL213" s="184">
        <v>69</v>
      </c>
      <c r="AM213" s="184">
        <v>64</v>
      </c>
      <c r="AN213" s="184">
        <v>41</v>
      </c>
      <c r="AO213" s="184">
        <v>35</v>
      </c>
      <c r="AP213" s="184">
        <v>15</v>
      </c>
      <c r="AQ213" s="336">
        <v>345</v>
      </c>
      <c r="AR213" s="323">
        <v>4</v>
      </c>
      <c r="AS213" s="323">
        <v>3311</v>
      </c>
      <c r="AT213" s="323">
        <v>3971</v>
      </c>
      <c r="AU213" s="323">
        <v>3943</v>
      </c>
      <c r="AV213" s="323">
        <v>2156</v>
      </c>
      <c r="AW213" s="323">
        <v>1218</v>
      </c>
      <c r="AX213" s="323">
        <v>526</v>
      </c>
      <c r="AY213" s="323">
        <v>273</v>
      </c>
      <c r="AZ213" s="323">
        <v>27</v>
      </c>
      <c r="BA213" s="323">
        <v>15429</v>
      </c>
      <c r="BB213" s="331">
        <v>0</v>
      </c>
      <c r="BC213" s="330">
        <v>28</v>
      </c>
      <c r="BD213" s="330">
        <v>54</v>
      </c>
      <c r="BE213" s="330">
        <v>72</v>
      </c>
      <c r="BF213" s="330">
        <v>60</v>
      </c>
      <c r="BG213" s="330">
        <v>42</v>
      </c>
      <c r="BH213" s="330">
        <v>16</v>
      </c>
      <c r="BI213" s="330">
        <v>11</v>
      </c>
      <c r="BJ213" s="330">
        <v>0</v>
      </c>
      <c r="BK213" s="328">
        <v>283</v>
      </c>
      <c r="BL213" s="323">
        <v>0</v>
      </c>
      <c r="BM213" s="323">
        <v>1</v>
      </c>
      <c r="BN213" s="323">
        <v>4</v>
      </c>
      <c r="BO213" s="323">
        <v>5</v>
      </c>
      <c r="BP213" s="323">
        <v>10</v>
      </c>
      <c r="BQ213" s="323">
        <v>10</v>
      </c>
      <c r="BR213" s="323">
        <v>18</v>
      </c>
      <c r="BS213" s="323">
        <v>16</v>
      </c>
      <c r="BT213" s="323">
        <v>1</v>
      </c>
      <c r="BU213" s="323">
        <v>65</v>
      </c>
      <c r="BV213" s="329" t="s">
        <v>934</v>
      </c>
      <c r="BW213" s="330">
        <v>53</v>
      </c>
      <c r="BX213" s="330">
        <v>57</v>
      </c>
      <c r="BY213" s="330">
        <v>52</v>
      </c>
      <c r="BZ213" s="330">
        <v>55</v>
      </c>
      <c r="CA213" s="330">
        <v>52</v>
      </c>
      <c r="CB213" s="330">
        <v>39</v>
      </c>
      <c r="CC213" s="330">
        <v>47</v>
      </c>
      <c r="CD213" s="330">
        <v>23</v>
      </c>
      <c r="CE213" s="328">
        <v>378</v>
      </c>
      <c r="CF213" s="322" t="s">
        <v>934</v>
      </c>
      <c r="CG213" s="323">
        <v>197</v>
      </c>
      <c r="CH213" s="323">
        <v>150</v>
      </c>
      <c r="CI213" s="323">
        <v>165</v>
      </c>
      <c r="CJ213" s="323">
        <v>89</v>
      </c>
      <c r="CK213" s="323">
        <v>70</v>
      </c>
      <c r="CL213" s="323">
        <v>48</v>
      </c>
      <c r="CM213" s="323">
        <v>40</v>
      </c>
      <c r="CN213" s="323">
        <v>10</v>
      </c>
      <c r="CO213" s="323">
        <v>769</v>
      </c>
      <c r="CP213" s="329" t="s">
        <v>934</v>
      </c>
      <c r="CQ213" s="330">
        <v>0</v>
      </c>
      <c r="CR213" s="330">
        <v>0</v>
      </c>
      <c r="CS213" s="330">
        <v>0</v>
      </c>
      <c r="CT213" s="330">
        <v>0</v>
      </c>
      <c r="CU213" s="330">
        <v>0</v>
      </c>
      <c r="CV213" s="330">
        <v>0</v>
      </c>
      <c r="CW213" s="330">
        <v>0</v>
      </c>
      <c r="CX213" s="330">
        <v>0</v>
      </c>
      <c r="CY213" s="328">
        <v>0</v>
      </c>
      <c r="CZ213" s="322" t="s">
        <v>934</v>
      </c>
      <c r="DA213" s="323">
        <v>0</v>
      </c>
      <c r="DB213" s="323">
        <v>0</v>
      </c>
      <c r="DC213" s="323">
        <v>0</v>
      </c>
      <c r="DD213" s="323">
        <v>0</v>
      </c>
      <c r="DE213" s="323">
        <v>0</v>
      </c>
      <c r="DF213" s="323">
        <v>0</v>
      </c>
      <c r="DG213" s="323">
        <v>0</v>
      </c>
      <c r="DH213" s="323">
        <v>0</v>
      </c>
      <c r="DI213" s="323">
        <v>0</v>
      </c>
      <c r="DJ213" s="337">
        <v>1238.3</v>
      </c>
      <c r="DK213" s="644">
        <v>50178.1</v>
      </c>
      <c r="DL213" s="614">
        <v>6393</v>
      </c>
      <c r="DM213" s="614">
        <v>10445</v>
      </c>
      <c r="DN213" s="614">
        <v>14026</v>
      </c>
      <c r="DO213" s="614">
        <v>9813</v>
      </c>
      <c r="DP213" s="614">
        <v>7935</v>
      </c>
      <c r="DQ213" s="614">
        <v>4843</v>
      </c>
      <c r="DR213" s="614">
        <v>2615</v>
      </c>
      <c r="DS213" s="615">
        <v>317</v>
      </c>
      <c r="DT213" s="607">
        <f t="shared" si="3"/>
        <v>56387</v>
      </c>
      <c r="DU213" s="342"/>
      <c r="EC213" s="646"/>
      <c r="EF213" s="126"/>
      <c r="EG213" s="124"/>
    </row>
    <row r="214" spans="1:137" ht="15">
      <c r="A214" s="22">
        <v>206</v>
      </c>
      <c r="B214" s="23" t="s">
        <v>544</v>
      </c>
      <c r="C214" s="24" t="s">
        <v>545</v>
      </c>
      <c r="D214" s="613"/>
      <c r="E214" s="630">
        <v>29230</v>
      </c>
      <c r="F214" s="630">
        <v>20180</v>
      </c>
      <c r="G214" s="630">
        <v>20359</v>
      </c>
      <c r="H214" s="630">
        <v>9429</v>
      </c>
      <c r="I214" s="630">
        <v>5134</v>
      </c>
      <c r="J214" s="630">
        <v>2188</v>
      </c>
      <c r="K214" s="630">
        <v>1128</v>
      </c>
      <c r="L214" s="630">
        <v>71</v>
      </c>
      <c r="M214" s="627">
        <v>87719</v>
      </c>
      <c r="N214" s="322"/>
      <c r="O214" s="323">
        <v>1193</v>
      </c>
      <c r="P214" s="323">
        <v>716</v>
      </c>
      <c r="Q214" s="323">
        <v>505</v>
      </c>
      <c r="R214" s="323">
        <v>179</v>
      </c>
      <c r="S214" s="323">
        <v>84</v>
      </c>
      <c r="T214" s="323">
        <v>23</v>
      </c>
      <c r="U214" s="323">
        <v>20</v>
      </c>
      <c r="V214" s="323">
        <v>9</v>
      </c>
      <c r="W214" s="323">
        <v>2729</v>
      </c>
      <c r="X214" s="329" t="s">
        <v>934</v>
      </c>
      <c r="Y214" s="330">
        <v>0</v>
      </c>
      <c r="Z214" s="330">
        <v>0</v>
      </c>
      <c r="AA214" s="330">
        <v>0</v>
      </c>
      <c r="AB214" s="330">
        <v>0</v>
      </c>
      <c r="AC214" s="330">
        <v>0</v>
      </c>
      <c r="AD214" s="330">
        <v>0</v>
      </c>
      <c r="AE214" s="330">
        <v>0</v>
      </c>
      <c r="AF214" s="330">
        <v>0</v>
      </c>
      <c r="AG214" s="328">
        <v>0</v>
      </c>
      <c r="AH214" s="329" t="s">
        <v>934</v>
      </c>
      <c r="AI214" s="184">
        <v>36</v>
      </c>
      <c r="AJ214" s="184">
        <v>57</v>
      </c>
      <c r="AK214" s="184">
        <v>114</v>
      </c>
      <c r="AL214" s="184">
        <v>62</v>
      </c>
      <c r="AM214" s="184">
        <v>30</v>
      </c>
      <c r="AN214" s="184">
        <v>14</v>
      </c>
      <c r="AO214" s="184">
        <v>8</v>
      </c>
      <c r="AP214" s="184">
        <v>4</v>
      </c>
      <c r="AQ214" s="336">
        <v>325</v>
      </c>
      <c r="AR214" s="323">
        <v>7</v>
      </c>
      <c r="AS214" s="323">
        <v>14320</v>
      </c>
      <c r="AT214" s="323">
        <v>7663</v>
      </c>
      <c r="AU214" s="323">
        <v>5821</v>
      </c>
      <c r="AV214" s="323">
        <v>1903</v>
      </c>
      <c r="AW214" s="323">
        <v>784</v>
      </c>
      <c r="AX214" s="323">
        <v>275</v>
      </c>
      <c r="AY214" s="323">
        <v>99</v>
      </c>
      <c r="AZ214" s="323">
        <v>1</v>
      </c>
      <c r="BA214" s="323">
        <v>30873</v>
      </c>
      <c r="BB214" s="331">
        <v>0</v>
      </c>
      <c r="BC214" s="330">
        <v>182</v>
      </c>
      <c r="BD214" s="330">
        <v>157</v>
      </c>
      <c r="BE214" s="330">
        <v>131</v>
      </c>
      <c r="BF214" s="330">
        <v>44</v>
      </c>
      <c r="BG214" s="330">
        <v>24</v>
      </c>
      <c r="BH214" s="330">
        <v>7</v>
      </c>
      <c r="BI214" s="330">
        <v>4</v>
      </c>
      <c r="BJ214" s="330">
        <v>0</v>
      </c>
      <c r="BK214" s="328">
        <v>549</v>
      </c>
      <c r="BL214" s="323">
        <v>0</v>
      </c>
      <c r="BM214" s="323">
        <v>15</v>
      </c>
      <c r="BN214" s="323">
        <v>19</v>
      </c>
      <c r="BO214" s="323">
        <v>7</v>
      </c>
      <c r="BP214" s="323">
        <v>11</v>
      </c>
      <c r="BQ214" s="323">
        <v>15</v>
      </c>
      <c r="BR214" s="323">
        <v>14</v>
      </c>
      <c r="BS214" s="323">
        <v>28</v>
      </c>
      <c r="BT214" s="323">
        <v>19</v>
      </c>
      <c r="BU214" s="323">
        <v>128</v>
      </c>
      <c r="BV214" s="329" t="s">
        <v>934</v>
      </c>
      <c r="BW214" s="330">
        <v>132</v>
      </c>
      <c r="BX214" s="330">
        <v>76</v>
      </c>
      <c r="BY214" s="330">
        <v>67</v>
      </c>
      <c r="BZ214" s="330">
        <v>35</v>
      </c>
      <c r="CA214" s="330">
        <v>7</v>
      </c>
      <c r="CB214" s="330">
        <v>5</v>
      </c>
      <c r="CC214" s="330">
        <v>6</v>
      </c>
      <c r="CD214" s="330">
        <v>0</v>
      </c>
      <c r="CE214" s="328">
        <v>328</v>
      </c>
      <c r="CF214" s="322" t="s">
        <v>934</v>
      </c>
      <c r="CG214" s="323">
        <v>528</v>
      </c>
      <c r="CH214" s="323">
        <v>253</v>
      </c>
      <c r="CI214" s="323">
        <v>184</v>
      </c>
      <c r="CJ214" s="323">
        <v>105</v>
      </c>
      <c r="CK214" s="323">
        <v>49</v>
      </c>
      <c r="CL214" s="323">
        <v>15</v>
      </c>
      <c r="CM214" s="323">
        <v>14</v>
      </c>
      <c r="CN214" s="323">
        <v>0</v>
      </c>
      <c r="CO214" s="323">
        <v>1148</v>
      </c>
      <c r="CP214" s="329" t="s">
        <v>934</v>
      </c>
      <c r="CQ214" s="330">
        <v>0</v>
      </c>
      <c r="CR214" s="330">
        <v>0</v>
      </c>
      <c r="CS214" s="330">
        <v>0</v>
      </c>
      <c r="CT214" s="330">
        <v>0</v>
      </c>
      <c r="CU214" s="330">
        <v>0</v>
      </c>
      <c r="CV214" s="330">
        <v>0</v>
      </c>
      <c r="CW214" s="330">
        <v>0</v>
      </c>
      <c r="CX214" s="330">
        <v>0</v>
      </c>
      <c r="CY214" s="328">
        <v>0</v>
      </c>
      <c r="CZ214" s="322" t="s">
        <v>934</v>
      </c>
      <c r="DA214" s="323">
        <v>0</v>
      </c>
      <c r="DB214" s="323">
        <v>0</v>
      </c>
      <c r="DC214" s="323">
        <v>0</v>
      </c>
      <c r="DD214" s="323">
        <v>0</v>
      </c>
      <c r="DE214" s="323">
        <v>0</v>
      </c>
      <c r="DF214" s="323">
        <v>0</v>
      </c>
      <c r="DG214" s="323">
        <v>0</v>
      </c>
      <c r="DH214" s="323">
        <v>0</v>
      </c>
      <c r="DI214" s="323">
        <v>0</v>
      </c>
      <c r="DJ214" s="337">
        <v>0</v>
      </c>
      <c r="DK214" s="644">
        <v>65137.8</v>
      </c>
      <c r="DL214" s="614">
        <v>29639</v>
      </c>
      <c r="DM214" s="614">
        <v>20303</v>
      </c>
      <c r="DN214" s="614">
        <v>20747</v>
      </c>
      <c r="DO214" s="614">
        <v>9629</v>
      </c>
      <c r="DP214" s="614">
        <v>5194</v>
      </c>
      <c r="DQ214" s="614">
        <v>2204</v>
      </c>
      <c r="DR214" s="614">
        <v>1133</v>
      </c>
      <c r="DS214" s="615">
        <v>70</v>
      </c>
      <c r="DT214" s="607">
        <f t="shared" si="3"/>
        <v>88919</v>
      </c>
      <c r="DU214" s="342"/>
      <c r="EC214" s="646"/>
      <c r="EF214" s="127"/>
      <c r="EG214" s="124"/>
    </row>
    <row r="215" spans="1:137" ht="15">
      <c r="A215" s="22">
        <v>207</v>
      </c>
      <c r="B215" s="23" t="s">
        <v>546</v>
      </c>
      <c r="C215" s="24" t="s">
        <v>547</v>
      </c>
      <c r="D215" s="613"/>
      <c r="E215" s="628">
        <v>25644</v>
      </c>
      <c r="F215" s="628">
        <v>20959</v>
      </c>
      <c r="G215" s="628">
        <v>7100</v>
      </c>
      <c r="H215" s="628">
        <v>3150</v>
      </c>
      <c r="I215" s="628">
        <v>1955</v>
      </c>
      <c r="J215" s="628">
        <v>734</v>
      </c>
      <c r="K215" s="628">
        <v>626</v>
      </c>
      <c r="L215" s="628">
        <v>71</v>
      </c>
      <c r="M215" s="627">
        <v>60239</v>
      </c>
      <c r="N215" s="322"/>
      <c r="O215" s="323">
        <v>1132</v>
      </c>
      <c r="P215" s="323">
        <v>1379</v>
      </c>
      <c r="Q215" s="323">
        <v>413</v>
      </c>
      <c r="R215" s="323">
        <v>194</v>
      </c>
      <c r="S215" s="323">
        <v>111</v>
      </c>
      <c r="T215" s="323">
        <v>15</v>
      </c>
      <c r="U215" s="323">
        <v>12</v>
      </c>
      <c r="V215" s="323">
        <v>9</v>
      </c>
      <c r="W215" s="323">
        <v>3265</v>
      </c>
      <c r="X215" s="329" t="s">
        <v>934</v>
      </c>
      <c r="Y215" s="330">
        <v>0</v>
      </c>
      <c r="Z215" s="330">
        <v>0</v>
      </c>
      <c r="AA215" s="330">
        <v>0</v>
      </c>
      <c r="AB215" s="330">
        <v>0</v>
      </c>
      <c r="AC215" s="330">
        <v>0</v>
      </c>
      <c r="AD215" s="330">
        <v>0</v>
      </c>
      <c r="AE215" s="330">
        <v>0</v>
      </c>
      <c r="AF215" s="330">
        <v>0</v>
      </c>
      <c r="AG215" s="328">
        <v>0</v>
      </c>
      <c r="AH215" s="329" t="s">
        <v>934</v>
      </c>
      <c r="AI215" s="184">
        <v>27</v>
      </c>
      <c r="AJ215" s="184">
        <v>107</v>
      </c>
      <c r="AK215" s="184">
        <v>40</v>
      </c>
      <c r="AL215" s="184">
        <v>19</v>
      </c>
      <c r="AM215" s="184">
        <v>9</v>
      </c>
      <c r="AN215" s="184">
        <v>8</v>
      </c>
      <c r="AO215" s="184">
        <v>14</v>
      </c>
      <c r="AP215" s="184">
        <v>7</v>
      </c>
      <c r="AQ215" s="336">
        <v>231</v>
      </c>
      <c r="AR215" s="323">
        <v>9</v>
      </c>
      <c r="AS215" s="323">
        <v>14745</v>
      </c>
      <c r="AT215" s="323">
        <v>7408</v>
      </c>
      <c r="AU215" s="323">
        <v>2196</v>
      </c>
      <c r="AV215" s="323">
        <v>765</v>
      </c>
      <c r="AW215" s="323">
        <v>440</v>
      </c>
      <c r="AX215" s="323">
        <v>138</v>
      </c>
      <c r="AY215" s="323">
        <v>105</v>
      </c>
      <c r="AZ215" s="323">
        <v>7</v>
      </c>
      <c r="BA215" s="323">
        <v>25813</v>
      </c>
      <c r="BB215" s="331">
        <v>0</v>
      </c>
      <c r="BC215" s="330">
        <v>151</v>
      </c>
      <c r="BD215" s="330">
        <v>201</v>
      </c>
      <c r="BE215" s="330">
        <v>57</v>
      </c>
      <c r="BF215" s="330">
        <v>28</v>
      </c>
      <c r="BG215" s="330">
        <v>12</v>
      </c>
      <c r="BH215" s="330">
        <v>4</v>
      </c>
      <c r="BI215" s="330">
        <v>6</v>
      </c>
      <c r="BJ215" s="330">
        <v>0</v>
      </c>
      <c r="BK215" s="328">
        <v>459</v>
      </c>
      <c r="BL215" s="323">
        <v>0</v>
      </c>
      <c r="BM215" s="323">
        <v>20</v>
      </c>
      <c r="BN215" s="323">
        <v>12</v>
      </c>
      <c r="BO215" s="323">
        <v>11</v>
      </c>
      <c r="BP215" s="323">
        <v>12</v>
      </c>
      <c r="BQ215" s="323">
        <v>7</v>
      </c>
      <c r="BR215" s="323">
        <v>11</v>
      </c>
      <c r="BS215" s="323">
        <v>12</v>
      </c>
      <c r="BT215" s="323">
        <v>4</v>
      </c>
      <c r="BU215" s="323">
        <v>89</v>
      </c>
      <c r="BV215" s="329" t="s">
        <v>934</v>
      </c>
      <c r="BW215" s="330">
        <v>62</v>
      </c>
      <c r="BX215" s="330">
        <v>80</v>
      </c>
      <c r="BY215" s="330">
        <v>44</v>
      </c>
      <c r="BZ215" s="330">
        <v>17</v>
      </c>
      <c r="CA215" s="330">
        <v>20</v>
      </c>
      <c r="CB215" s="330">
        <v>7</v>
      </c>
      <c r="CC215" s="330">
        <v>7</v>
      </c>
      <c r="CD215" s="330">
        <v>0</v>
      </c>
      <c r="CE215" s="328">
        <v>237</v>
      </c>
      <c r="CF215" s="322" t="s">
        <v>934</v>
      </c>
      <c r="CG215" s="323">
        <v>1</v>
      </c>
      <c r="CH215" s="323">
        <v>1</v>
      </c>
      <c r="CI215" s="323">
        <v>1</v>
      </c>
      <c r="CJ215" s="323">
        <v>0</v>
      </c>
      <c r="CK215" s="323">
        <v>0</v>
      </c>
      <c r="CL215" s="323">
        <v>1</v>
      </c>
      <c r="CM215" s="323">
        <v>0</v>
      </c>
      <c r="CN215" s="323">
        <v>0</v>
      </c>
      <c r="CO215" s="323">
        <v>4</v>
      </c>
      <c r="CP215" s="329" t="s">
        <v>934</v>
      </c>
      <c r="CQ215" s="330">
        <v>0</v>
      </c>
      <c r="CR215" s="330">
        <v>0</v>
      </c>
      <c r="CS215" s="330">
        <v>0</v>
      </c>
      <c r="CT215" s="330">
        <v>0</v>
      </c>
      <c r="CU215" s="330">
        <v>0</v>
      </c>
      <c r="CV215" s="330">
        <v>0</v>
      </c>
      <c r="CW215" s="330">
        <v>0</v>
      </c>
      <c r="CX215" s="330">
        <v>0</v>
      </c>
      <c r="CY215" s="328">
        <v>0</v>
      </c>
      <c r="CZ215" s="322" t="s">
        <v>934</v>
      </c>
      <c r="DA215" s="323">
        <v>203</v>
      </c>
      <c r="DB215" s="323">
        <v>136</v>
      </c>
      <c r="DC215" s="323">
        <v>56</v>
      </c>
      <c r="DD215" s="323">
        <v>29</v>
      </c>
      <c r="DE215" s="323">
        <v>28</v>
      </c>
      <c r="DF215" s="323">
        <v>7</v>
      </c>
      <c r="DG215" s="323">
        <v>3</v>
      </c>
      <c r="DH215" s="323">
        <v>1</v>
      </c>
      <c r="DI215" s="323">
        <v>463</v>
      </c>
      <c r="DJ215" s="337">
        <v>35.4</v>
      </c>
      <c r="DK215" s="644">
        <v>39822.8</v>
      </c>
      <c r="DL215" s="614">
        <v>25820</v>
      </c>
      <c r="DM215" s="614">
        <v>21364</v>
      </c>
      <c r="DN215" s="614">
        <v>7354</v>
      </c>
      <c r="DO215" s="614">
        <v>3230</v>
      </c>
      <c r="DP215" s="614">
        <v>2021</v>
      </c>
      <c r="DQ215" s="614">
        <v>759</v>
      </c>
      <c r="DR215" s="614">
        <v>621</v>
      </c>
      <c r="DS215" s="615">
        <v>72</v>
      </c>
      <c r="DT215" s="607">
        <f t="shared" si="3"/>
        <v>61241</v>
      </c>
      <c r="DU215" s="342"/>
      <c r="EC215" s="646"/>
      <c r="EF215" s="126"/>
      <c r="EG215" s="124"/>
    </row>
    <row r="216" spans="1:137" ht="15">
      <c r="A216" s="22">
        <v>208</v>
      </c>
      <c r="B216" s="23" t="s">
        <v>548</v>
      </c>
      <c r="C216" s="24" t="s">
        <v>549</v>
      </c>
      <c r="D216" s="613"/>
      <c r="E216" s="630">
        <v>83134</v>
      </c>
      <c r="F216" s="630">
        <v>19880</v>
      </c>
      <c r="G216" s="630">
        <v>13769</v>
      </c>
      <c r="H216" s="630">
        <v>5958</v>
      </c>
      <c r="I216" s="630">
        <v>2208</v>
      </c>
      <c r="J216" s="630">
        <v>958</v>
      </c>
      <c r="K216" s="630">
        <v>681</v>
      </c>
      <c r="L216" s="630">
        <v>112</v>
      </c>
      <c r="M216" s="627">
        <v>126700</v>
      </c>
      <c r="N216" s="322"/>
      <c r="O216" s="323">
        <v>5593</v>
      </c>
      <c r="P216" s="323">
        <v>2366</v>
      </c>
      <c r="Q216" s="323">
        <v>1768</v>
      </c>
      <c r="R216" s="323">
        <v>500</v>
      </c>
      <c r="S216" s="323">
        <v>179</v>
      </c>
      <c r="T216" s="323">
        <v>38</v>
      </c>
      <c r="U216" s="323">
        <v>30</v>
      </c>
      <c r="V216" s="323">
        <v>23</v>
      </c>
      <c r="W216" s="323">
        <v>10497</v>
      </c>
      <c r="X216" s="329" t="s">
        <v>934</v>
      </c>
      <c r="Y216" s="330">
        <v>28</v>
      </c>
      <c r="Z216" s="330">
        <v>5</v>
      </c>
      <c r="AA216" s="330">
        <v>0</v>
      </c>
      <c r="AB216" s="330">
        <v>2</v>
      </c>
      <c r="AC216" s="330">
        <v>0</v>
      </c>
      <c r="AD216" s="330">
        <v>1</v>
      </c>
      <c r="AE216" s="330">
        <v>0</v>
      </c>
      <c r="AF216" s="330">
        <v>0</v>
      </c>
      <c r="AG216" s="328">
        <v>36</v>
      </c>
      <c r="AH216" s="329" t="s">
        <v>934</v>
      </c>
      <c r="AI216" s="184">
        <v>184</v>
      </c>
      <c r="AJ216" s="184">
        <v>159</v>
      </c>
      <c r="AK216" s="184">
        <v>93</v>
      </c>
      <c r="AL216" s="184">
        <v>52</v>
      </c>
      <c r="AM216" s="184">
        <v>21</v>
      </c>
      <c r="AN216" s="184">
        <v>15</v>
      </c>
      <c r="AO216" s="184">
        <v>27</v>
      </c>
      <c r="AP216" s="184">
        <v>21</v>
      </c>
      <c r="AQ216" s="336">
        <v>572</v>
      </c>
      <c r="AR216" s="323">
        <v>55</v>
      </c>
      <c r="AS216" s="323">
        <v>41639</v>
      </c>
      <c r="AT216" s="323">
        <v>6991</v>
      </c>
      <c r="AU216" s="323">
        <v>3628</v>
      </c>
      <c r="AV216" s="323">
        <v>1461</v>
      </c>
      <c r="AW216" s="323">
        <v>490</v>
      </c>
      <c r="AX216" s="323">
        <v>213</v>
      </c>
      <c r="AY216" s="323">
        <v>90</v>
      </c>
      <c r="AZ216" s="323">
        <v>4</v>
      </c>
      <c r="BA216" s="323">
        <v>54571</v>
      </c>
      <c r="BB216" s="331">
        <v>5</v>
      </c>
      <c r="BC216" s="330">
        <v>485</v>
      </c>
      <c r="BD216" s="330">
        <v>178</v>
      </c>
      <c r="BE216" s="330">
        <v>120</v>
      </c>
      <c r="BF216" s="330">
        <v>58</v>
      </c>
      <c r="BG216" s="330">
        <v>14</v>
      </c>
      <c r="BH216" s="330">
        <v>6</v>
      </c>
      <c r="BI216" s="330">
        <v>2</v>
      </c>
      <c r="BJ216" s="330">
        <v>0</v>
      </c>
      <c r="BK216" s="328">
        <v>868</v>
      </c>
      <c r="BL216" s="323">
        <v>0</v>
      </c>
      <c r="BM216" s="323">
        <v>92</v>
      </c>
      <c r="BN216" s="323">
        <v>39</v>
      </c>
      <c r="BO216" s="323">
        <v>23</v>
      </c>
      <c r="BP216" s="323">
        <v>27</v>
      </c>
      <c r="BQ216" s="323">
        <v>12</v>
      </c>
      <c r="BR216" s="323">
        <v>20</v>
      </c>
      <c r="BS216" s="323">
        <v>34</v>
      </c>
      <c r="BT216" s="323">
        <v>11</v>
      </c>
      <c r="BU216" s="323">
        <v>258</v>
      </c>
      <c r="BV216" s="329" t="s">
        <v>934</v>
      </c>
      <c r="BW216" s="330">
        <v>458</v>
      </c>
      <c r="BX216" s="330">
        <v>160</v>
      </c>
      <c r="BY216" s="330">
        <v>118</v>
      </c>
      <c r="BZ216" s="330">
        <v>106</v>
      </c>
      <c r="CA216" s="330">
        <v>25</v>
      </c>
      <c r="CB216" s="330">
        <v>13</v>
      </c>
      <c r="CC216" s="330">
        <v>1</v>
      </c>
      <c r="CD216" s="330">
        <v>4</v>
      </c>
      <c r="CE216" s="328">
        <v>885</v>
      </c>
      <c r="CF216" s="322" t="s">
        <v>934</v>
      </c>
      <c r="CG216" s="323">
        <v>0</v>
      </c>
      <c r="CH216" s="323">
        <v>0</v>
      </c>
      <c r="CI216" s="323">
        <v>0</v>
      </c>
      <c r="CJ216" s="323">
        <v>1</v>
      </c>
      <c r="CK216" s="323">
        <v>0</v>
      </c>
      <c r="CL216" s="323">
        <v>0</v>
      </c>
      <c r="CM216" s="323">
        <v>0</v>
      </c>
      <c r="CN216" s="323">
        <v>0</v>
      </c>
      <c r="CO216" s="323">
        <v>1</v>
      </c>
      <c r="CP216" s="329" t="s">
        <v>934</v>
      </c>
      <c r="CQ216" s="330">
        <v>1589</v>
      </c>
      <c r="CR216" s="330">
        <v>299</v>
      </c>
      <c r="CS216" s="330">
        <v>195</v>
      </c>
      <c r="CT216" s="330">
        <v>100</v>
      </c>
      <c r="CU216" s="330">
        <v>36</v>
      </c>
      <c r="CV216" s="330">
        <v>12</v>
      </c>
      <c r="CW216" s="330">
        <v>8</v>
      </c>
      <c r="CX216" s="330">
        <v>1</v>
      </c>
      <c r="CY216" s="328">
        <v>2240</v>
      </c>
      <c r="CZ216" s="322" t="s">
        <v>934</v>
      </c>
      <c r="DA216" s="323">
        <v>0</v>
      </c>
      <c r="DB216" s="323">
        <v>0</v>
      </c>
      <c r="DC216" s="323">
        <v>0</v>
      </c>
      <c r="DD216" s="323">
        <v>0</v>
      </c>
      <c r="DE216" s="323">
        <v>0</v>
      </c>
      <c r="DF216" s="323">
        <v>0</v>
      </c>
      <c r="DG216" s="323">
        <v>0</v>
      </c>
      <c r="DH216" s="323">
        <v>0</v>
      </c>
      <c r="DI216" s="323">
        <v>0</v>
      </c>
      <c r="DJ216" s="337">
        <v>4</v>
      </c>
      <c r="DK216" s="644">
        <v>76026.2</v>
      </c>
      <c r="DL216" s="614">
        <v>84285</v>
      </c>
      <c r="DM216" s="614">
        <v>20332</v>
      </c>
      <c r="DN216" s="614">
        <v>14286</v>
      </c>
      <c r="DO216" s="614">
        <v>6087</v>
      </c>
      <c r="DP216" s="614">
        <v>2212</v>
      </c>
      <c r="DQ216" s="614">
        <v>966</v>
      </c>
      <c r="DR216" s="614">
        <v>680</v>
      </c>
      <c r="DS216" s="615">
        <v>111</v>
      </c>
      <c r="DT216" s="607">
        <f t="shared" si="3"/>
        <v>128959</v>
      </c>
      <c r="DU216" s="342"/>
      <c r="EC216" s="646"/>
      <c r="EF216" s="127"/>
      <c r="EG216" s="124"/>
    </row>
    <row r="217" spans="1:137" ht="15">
      <c r="A217" s="22">
        <v>209</v>
      </c>
      <c r="B217" s="23" t="s">
        <v>552</v>
      </c>
      <c r="C217" s="24" t="s">
        <v>553</v>
      </c>
      <c r="D217" s="613"/>
      <c r="E217" s="634">
        <v>19457</v>
      </c>
      <c r="F217" s="634">
        <v>12136</v>
      </c>
      <c r="G217" s="634">
        <v>11657</v>
      </c>
      <c r="H217" s="634">
        <v>6522</v>
      </c>
      <c r="I217" s="634">
        <v>2092</v>
      </c>
      <c r="J217" s="634">
        <v>567</v>
      </c>
      <c r="K217" s="634">
        <v>137</v>
      </c>
      <c r="L217" s="634">
        <v>16</v>
      </c>
      <c r="M217" s="635">
        <v>52584</v>
      </c>
      <c r="N217" s="322"/>
      <c r="O217" s="323">
        <v>707</v>
      </c>
      <c r="P217" s="323">
        <v>258</v>
      </c>
      <c r="Q217" s="323">
        <v>175</v>
      </c>
      <c r="R217" s="323">
        <v>79</v>
      </c>
      <c r="S217" s="323">
        <v>28</v>
      </c>
      <c r="T217" s="323">
        <v>8</v>
      </c>
      <c r="U217" s="323">
        <v>3</v>
      </c>
      <c r="V217" s="323">
        <v>3</v>
      </c>
      <c r="W217" s="323">
        <v>1261</v>
      </c>
      <c r="X217" s="329" t="s">
        <v>934</v>
      </c>
      <c r="Y217" s="330">
        <v>0</v>
      </c>
      <c r="Z217" s="330">
        <v>0</v>
      </c>
      <c r="AA217" s="330">
        <v>0</v>
      </c>
      <c r="AB217" s="330">
        <v>0</v>
      </c>
      <c r="AC217" s="330">
        <v>0</v>
      </c>
      <c r="AD217" s="330">
        <v>0</v>
      </c>
      <c r="AE217" s="330">
        <v>0</v>
      </c>
      <c r="AF217" s="330">
        <v>0</v>
      </c>
      <c r="AG217" s="328">
        <v>0</v>
      </c>
      <c r="AH217" s="329" t="s">
        <v>934</v>
      </c>
      <c r="AI217" s="184">
        <v>46</v>
      </c>
      <c r="AJ217" s="184">
        <v>78</v>
      </c>
      <c r="AK217" s="184">
        <v>101</v>
      </c>
      <c r="AL217" s="184">
        <v>53</v>
      </c>
      <c r="AM217" s="184">
        <v>25</v>
      </c>
      <c r="AN217" s="184">
        <v>8</v>
      </c>
      <c r="AO217" s="184">
        <v>14</v>
      </c>
      <c r="AP217" s="184">
        <v>8</v>
      </c>
      <c r="AQ217" s="336">
        <v>333</v>
      </c>
      <c r="AR217" s="323">
        <v>8</v>
      </c>
      <c r="AS217" s="323">
        <v>8297</v>
      </c>
      <c r="AT217" s="323">
        <v>3658</v>
      </c>
      <c r="AU217" s="323">
        <v>2648</v>
      </c>
      <c r="AV217" s="323">
        <v>1059</v>
      </c>
      <c r="AW217" s="323">
        <v>270</v>
      </c>
      <c r="AX217" s="323">
        <v>58</v>
      </c>
      <c r="AY217" s="323">
        <v>10</v>
      </c>
      <c r="AZ217" s="323">
        <v>1</v>
      </c>
      <c r="BA217" s="323">
        <v>16009</v>
      </c>
      <c r="BB217" s="331">
        <v>1</v>
      </c>
      <c r="BC217" s="330">
        <v>95</v>
      </c>
      <c r="BD217" s="330">
        <v>94</v>
      </c>
      <c r="BE217" s="330">
        <v>74</v>
      </c>
      <c r="BF217" s="330">
        <v>38</v>
      </c>
      <c r="BG217" s="330">
        <v>11</v>
      </c>
      <c r="BH217" s="330">
        <v>3</v>
      </c>
      <c r="BI217" s="330">
        <v>0</v>
      </c>
      <c r="BJ217" s="330">
        <v>0</v>
      </c>
      <c r="BK217" s="328">
        <v>316</v>
      </c>
      <c r="BL217" s="323">
        <v>0</v>
      </c>
      <c r="BM217" s="323">
        <v>14</v>
      </c>
      <c r="BN217" s="323">
        <v>18</v>
      </c>
      <c r="BO217" s="323">
        <v>14</v>
      </c>
      <c r="BP217" s="323">
        <v>13</v>
      </c>
      <c r="BQ217" s="323">
        <v>5</v>
      </c>
      <c r="BR217" s="323">
        <v>11</v>
      </c>
      <c r="BS217" s="323">
        <v>8</v>
      </c>
      <c r="BT217" s="323">
        <v>0</v>
      </c>
      <c r="BU217" s="323">
        <v>83</v>
      </c>
      <c r="BV217" s="329" t="s">
        <v>934</v>
      </c>
      <c r="BW217" s="330">
        <v>33</v>
      </c>
      <c r="BX217" s="330">
        <v>17</v>
      </c>
      <c r="BY217" s="330">
        <v>13</v>
      </c>
      <c r="BZ217" s="330">
        <v>5</v>
      </c>
      <c r="CA217" s="330">
        <v>3</v>
      </c>
      <c r="CB217" s="330">
        <v>0</v>
      </c>
      <c r="CC217" s="330">
        <v>1</v>
      </c>
      <c r="CD217" s="330">
        <v>0</v>
      </c>
      <c r="CE217" s="328">
        <v>72</v>
      </c>
      <c r="CF217" s="322" t="s">
        <v>934</v>
      </c>
      <c r="CG217" s="323">
        <v>354</v>
      </c>
      <c r="CH217" s="323">
        <v>156</v>
      </c>
      <c r="CI217" s="323">
        <v>104</v>
      </c>
      <c r="CJ217" s="323">
        <v>35</v>
      </c>
      <c r="CK217" s="323">
        <v>8</v>
      </c>
      <c r="CL217" s="323">
        <v>3</v>
      </c>
      <c r="CM217" s="323">
        <v>4</v>
      </c>
      <c r="CN217" s="323">
        <v>0</v>
      </c>
      <c r="CO217" s="323">
        <v>664</v>
      </c>
      <c r="CP217" s="329" t="s">
        <v>934</v>
      </c>
      <c r="CQ217" s="330">
        <v>0</v>
      </c>
      <c r="CR217" s="330">
        <v>0</v>
      </c>
      <c r="CS217" s="330">
        <v>0</v>
      </c>
      <c r="CT217" s="330">
        <v>0</v>
      </c>
      <c r="CU217" s="330">
        <v>0</v>
      </c>
      <c r="CV217" s="330">
        <v>0</v>
      </c>
      <c r="CW217" s="330">
        <v>0</v>
      </c>
      <c r="CX217" s="330">
        <v>0</v>
      </c>
      <c r="CY217" s="328">
        <v>0</v>
      </c>
      <c r="CZ217" s="322" t="s">
        <v>934</v>
      </c>
      <c r="DA217" s="323">
        <v>0</v>
      </c>
      <c r="DB217" s="323">
        <v>0</v>
      </c>
      <c r="DC217" s="323">
        <v>0</v>
      </c>
      <c r="DD217" s="323">
        <v>0</v>
      </c>
      <c r="DE217" s="323">
        <v>0</v>
      </c>
      <c r="DF217" s="323">
        <v>0</v>
      </c>
      <c r="DG217" s="323">
        <v>0</v>
      </c>
      <c r="DH217" s="323">
        <v>0</v>
      </c>
      <c r="DI217" s="323">
        <v>0</v>
      </c>
      <c r="DJ217" s="337">
        <v>17</v>
      </c>
      <c r="DK217" s="644">
        <v>38496.5</v>
      </c>
      <c r="DL217" s="618">
        <v>19580</v>
      </c>
      <c r="DM217" s="618">
        <v>12240</v>
      </c>
      <c r="DN217" s="618">
        <v>11741</v>
      </c>
      <c r="DO217" s="618">
        <v>6638</v>
      </c>
      <c r="DP217" s="618">
        <v>2140</v>
      </c>
      <c r="DQ217" s="618">
        <v>571</v>
      </c>
      <c r="DR217" s="618">
        <v>138</v>
      </c>
      <c r="DS217" s="619">
        <v>16</v>
      </c>
      <c r="DT217" s="609">
        <f t="shared" si="3"/>
        <v>53064</v>
      </c>
      <c r="DU217" s="342"/>
      <c r="EC217" s="646"/>
      <c r="EF217" s="129"/>
      <c r="EG217" s="124"/>
    </row>
    <row r="218" spans="1:137" ht="15">
      <c r="A218" s="22">
        <v>210</v>
      </c>
      <c r="B218" s="23" t="s">
        <v>554</v>
      </c>
      <c r="C218" s="24" t="s">
        <v>555</v>
      </c>
      <c r="D218" s="613"/>
      <c r="E218" s="630">
        <v>3633</v>
      </c>
      <c r="F218" s="630">
        <v>5652</v>
      </c>
      <c r="G218" s="630">
        <v>7181</v>
      </c>
      <c r="H218" s="630">
        <v>3003</v>
      </c>
      <c r="I218" s="630">
        <v>1816</v>
      </c>
      <c r="J218" s="630">
        <v>465</v>
      </c>
      <c r="K218" s="630">
        <v>449</v>
      </c>
      <c r="L218" s="630">
        <v>72</v>
      </c>
      <c r="M218" s="627">
        <v>22271</v>
      </c>
      <c r="N218" s="322"/>
      <c r="O218" s="323">
        <v>109</v>
      </c>
      <c r="P218" s="323">
        <v>117</v>
      </c>
      <c r="Q218" s="323">
        <v>100</v>
      </c>
      <c r="R218" s="323">
        <v>42</v>
      </c>
      <c r="S218" s="323">
        <v>11</v>
      </c>
      <c r="T218" s="323">
        <v>2</v>
      </c>
      <c r="U218" s="323">
        <v>9</v>
      </c>
      <c r="V218" s="323">
        <v>5</v>
      </c>
      <c r="W218" s="323">
        <v>395</v>
      </c>
      <c r="X218" s="329" t="s">
        <v>934</v>
      </c>
      <c r="Y218" s="330">
        <v>0</v>
      </c>
      <c r="Z218" s="330">
        <v>0</v>
      </c>
      <c r="AA218" s="330">
        <v>0</v>
      </c>
      <c r="AB218" s="330">
        <v>0</v>
      </c>
      <c r="AC218" s="330">
        <v>0</v>
      </c>
      <c r="AD218" s="330">
        <v>0</v>
      </c>
      <c r="AE218" s="330">
        <v>0</v>
      </c>
      <c r="AF218" s="330">
        <v>0</v>
      </c>
      <c r="AG218" s="328">
        <v>0</v>
      </c>
      <c r="AH218" s="329" t="s">
        <v>934</v>
      </c>
      <c r="AI218" s="184">
        <v>11</v>
      </c>
      <c r="AJ218" s="184">
        <v>28</v>
      </c>
      <c r="AK218" s="184">
        <v>57</v>
      </c>
      <c r="AL218" s="184">
        <v>25</v>
      </c>
      <c r="AM218" s="184">
        <v>21</v>
      </c>
      <c r="AN218" s="184">
        <v>10</v>
      </c>
      <c r="AO218" s="184">
        <v>15</v>
      </c>
      <c r="AP218" s="184">
        <v>9</v>
      </c>
      <c r="AQ218" s="336">
        <v>176</v>
      </c>
      <c r="AR218" s="323">
        <v>2</v>
      </c>
      <c r="AS218" s="323">
        <v>1948</v>
      </c>
      <c r="AT218" s="323">
        <v>2042</v>
      </c>
      <c r="AU218" s="323">
        <v>1860</v>
      </c>
      <c r="AV218" s="323">
        <v>546</v>
      </c>
      <c r="AW218" s="323">
        <v>222</v>
      </c>
      <c r="AX218" s="323">
        <v>49</v>
      </c>
      <c r="AY218" s="323">
        <v>41</v>
      </c>
      <c r="AZ218" s="323">
        <v>4</v>
      </c>
      <c r="BA218" s="323">
        <v>6714</v>
      </c>
      <c r="BB218" s="331">
        <v>0</v>
      </c>
      <c r="BC218" s="330">
        <v>27</v>
      </c>
      <c r="BD218" s="330">
        <v>45</v>
      </c>
      <c r="BE218" s="330">
        <v>59</v>
      </c>
      <c r="BF218" s="330">
        <v>29</v>
      </c>
      <c r="BG218" s="330">
        <v>10</v>
      </c>
      <c r="BH218" s="330">
        <v>1</v>
      </c>
      <c r="BI218" s="330">
        <v>0</v>
      </c>
      <c r="BJ218" s="330">
        <v>0</v>
      </c>
      <c r="BK218" s="328">
        <v>171</v>
      </c>
      <c r="BL218" s="323">
        <v>0</v>
      </c>
      <c r="BM218" s="323">
        <v>1</v>
      </c>
      <c r="BN218" s="323">
        <v>6</v>
      </c>
      <c r="BO218" s="323">
        <v>5</v>
      </c>
      <c r="BP218" s="323">
        <v>1</v>
      </c>
      <c r="BQ218" s="323">
        <v>4</v>
      </c>
      <c r="BR218" s="323">
        <v>7</v>
      </c>
      <c r="BS218" s="323">
        <v>9</v>
      </c>
      <c r="BT218" s="323">
        <v>0</v>
      </c>
      <c r="BU218" s="323">
        <v>33</v>
      </c>
      <c r="BV218" s="329" t="s">
        <v>934</v>
      </c>
      <c r="BW218" s="330">
        <v>3</v>
      </c>
      <c r="BX218" s="330">
        <v>8</v>
      </c>
      <c r="BY218" s="330">
        <v>2</v>
      </c>
      <c r="BZ218" s="330">
        <v>2</v>
      </c>
      <c r="CA218" s="330">
        <v>1</v>
      </c>
      <c r="CB218" s="330">
        <v>0</v>
      </c>
      <c r="CC218" s="330">
        <v>0</v>
      </c>
      <c r="CD218" s="330">
        <v>0</v>
      </c>
      <c r="CE218" s="328">
        <v>16</v>
      </c>
      <c r="CF218" s="322" t="s">
        <v>934</v>
      </c>
      <c r="CG218" s="323">
        <v>1</v>
      </c>
      <c r="CH218" s="323">
        <v>0</v>
      </c>
      <c r="CI218" s="323">
        <v>0</v>
      </c>
      <c r="CJ218" s="323">
        <v>0</v>
      </c>
      <c r="CK218" s="323">
        <v>0</v>
      </c>
      <c r="CL218" s="323">
        <v>0</v>
      </c>
      <c r="CM218" s="323">
        <v>0</v>
      </c>
      <c r="CN218" s="323">
        <v>0</v>
      </c>
      <c r="CO218" s="323">
        <v>1</v>
      </c>
      <c r="CP218" s="329" t="s">
        <v>934</v>
      </c>
      <c r="CQ218" s="330">
        <v>54</v>
      </c>
      <c r="CR218" s="330">
        <v>72</v>
      </c>
      <c r="CS218" s="330">
        <v>48</v>
      </c>
      <c r="CT218" s="330">
        <v>19</v>
      </c>
      <c r="CU218" s="330">
        <v>13</v>
      </c>
      <c r="CV218" s="330">
        <v>6</v>
      </c>
      <c r="CW218" s="330">
        <v>8</v>
      </c>
      <c r="CX218" s="330">
        <v>3</v>
      </c>
      <c r="CY218" s="328">
        <v>223</v>
      </c>
      <c r="CZ218" s="322" t="s">
        <v>934</v>
      </c>
      <c r="DA218" s="323">
        <v>6</v>
      </c>
      <c r="DB218" s="323">
        <v>12</v>
      </c>
      <c r="DC218" s="323">
        <v>10</v>
      </c>
      <c r="DD218" s="323">
        <v>3</v>
      </c>
      <c r="DE218" s="323">
        <v>3</v>
      </c>
      <c r="DF218" s="323">
        <v>2</v>
      </c>
      <c r="DG218" s="323">
        <v>1</v>
      </c>
      <c r="DH218" s="323">
        <v>0</v>
      </c>
      <c r="DI218" s="323">
        <v>37</v>
      </c>
      <c r="DJ218" s="337">
        <v>9.9</v>
      </c>
      <c r="DK218" s="644">
        <v>18190.9</v>
      </c>
      <c r="DL218" s="614">
        <v>3681</v>
      </c>
      <c r="DM218" s="614">
        <v>5721</v>
      </c>
      <c r="DN218" s="614">
        <v>7114</v>
      </c>
      <c r="DO218" s="614">
        <v>3014</v>
      </c>
      <c r="DP218" s="614">
        <v>1815</v>
      </c>
      <c r="DQ218" s="614">
        <v>470</v>
      </c>
      <c r="DR218" s="614">
        <v>446</v>
      </c>
      <c r="DS218" s="615">
        <v>73</v>
      </c>
      <c r="DT218" s="607">
        <f t="shared" si="3"/>
        <v>22334</v>
      </c>
      <c r="DU218" s="342"/>
      <c r="EC218" s="646"/>
      <c r="EF218" s="127"/>
      <c r="EG218" s="124"/>
    </row>
    <row r="219" spans="1:137" ht="15">
      <c r="A219" s="22">
        <v>211</v>
      </c>
      <c r="B219" s="23" t="s">
        <v>556</v>
      </c>
      <c r="C219" s="24" t="s">
        <v>557</v>
      </c>
      <c r="D219" s="613"/>
      <c r="E219" s="626">
        <v>51174</v>
      </c>
      <c r="F219" s="626">
        <v>15840</v>
      </c>
      <c r="G219" s="626">
        <v>14815</v>
      </c>
      <c r="H219" s="626">
        <v>6250</v>
      </c>
      <c r="I219" s="626">
        <v>3031</v>
      </c>
      <c r="J219" s="626">
        <v>1383</v>
      </c>
      <c r="K219" s="626">
        <v>826</v>
      </c>
      <c r="L219" s="626">
        <v>71</v>
      </c>
      <c r="M219" s="627">
        <v>93390</v>
      </c>
      <c r="N219" s="322"/>
      <c r="O219" s="323">
        <v>2304</v>
      </c>
      <c r="P219" s="323">
        <v>295</v>
      </c>
      <c r="Q219" s="323">
        <v>224</v>
      </c>
      <c r="R219" s="323">
        <v>81</v>
      </c>
      <c r="S219" s="323">
        <v>47</v>
      </c>
      <c r="T219" s="323">
        <v>15</v>
      </c>
      <c r="U219" s="323">
        <v>15</v>
      </c>
      <c r="V219" s="323">
        <v>3</v>
      </c>
      <c r="W219" s="323">
        <v>2984</v>
      </c>
      <c r="X219" s="329" t="s">
        <v>934</v>
      </c>
      <c r="Y219" s="330">
        <v>0</v>
      </c>
      <c r="Z219" s="330">
        <v>0</v>
      </c>
      <c r="AA219" s="330">
        <v>0</v>
      </c>
      <c r="AB219" s="330">
        <v>0</v>
      </c>
      <c r="AC219" s="330">
        <v>0</v>
      </c>
      <c r="AD219" s="330">
        <v>0</v>
      </c>
      <c r="AE219" s="330">
        <v>0</v>
      </c>
      <c r="AF219" s="330">
        <v>0</v>
      </c>
      <c r="AG219" s="328">
        <v>0</v>
      </c>
      <c r="AH219" s="329" t="s">
        <v>934</v>
      </c>
      <c r="AI219" s="184">
        <v>141</v>
      </c>
      <c r="AJ219" s="184">
        <v>124</v>
      </c>
      <c r="AK219" s="184">
        <v>136</v>
      </c>
      <c r="AL219" s="184">
        <v>58</v>
      </c>
      <c r="AM219" s="184">
        <v>33</v>
      </c>
      <c r="AN219" s="184">
        <v>16</v>
      </c>
      <c r="AO219" s="184">
        <v>23</v>
      </c>
      <c r="AP219" s="184">
        <v>24</v>
      </c>
      <c r="AQ219" s="336">
        <v>555</v>
      </c>
      <c r="AR219" s="323">
        <v>33</v>
      </c>
      <c r="AS219" s="323">
        <v>23928</v>
      </c>
      <c r="AT219" s="323">
        <v>5082</v>
      </c>
      <c r="AU219" s="323">
        <v>3910</v>
      </c>
      <c r="AV219" s="323">
        <v>1177</v>
      </c>
      <c r="AW219" s="323">
        <v>479</v>
      </c>
      <c r="AX219" s="323">
        <v>207</v>
      </c>
      <c r="AY219" s="323">
        <v>89</v>
      </c>
      <c r="AZ219" s="323">
        <v>6</v>
      </c>
      <c r="BA219" s="323">
        <v>34911</v>
      </c>
      <c r="BB219" s="331">
        <v>8</v>
      </c>
      <c r="BC219" s="330">
        <v>366</v>
      </c>
      <c r="BD219" s="330">
        <v>138</v>
      </c>
      <c r="BE219" s="330">
        <v>93</v>
      </c>
      <c r="BF219" s="330">
        <v>39</v>
      </c>
      <c r="BG219" s="330">
        <v>17</v>
      </c>
      <c r="BH219" s="330">
        <v>3</v>
      </c>
      <c r="BI219" s="330">
        <v>1</v>
      </c>
      <c r="BJ219" s="330">
        <v>0</v>
      </c>
      <c r="BK219" s="328">
        <v>665</v>
      </c>
      <c r="BL219" s="323">
        <v>2</v>
      </c>
      <c r="BM219" s="323">
        <v>20</v>
      </c>
      <c r="BN219" s="323">
        <v>15</v>
      </c>
      <c r="BO219" s="323">
        <v>7</v>
      </c>
      <c r="BP219" s="323">
        <v>5</v>
      </c>
      <c r="BQ219" s="323">
        <v>6</v>
      </c>
      <c r="BR219" s="323">
        <v>14</v>
      </c>
      <c r="BS219" s="323">
        <v>27</v>
      </c>
      <c r="BT219" s="323">
        <v>3</v>
      </c>
      <c r="BU219" s="323">
        <v>99</v>
      </c>
      <c r="BV219" s="329" t="s">
        <v>934</v>
      </c>
      <c r="BW219" s="330">
        <v>137</v>
      </c>
      <c r="BX219" s="330">
        <v>35</v>
      </c>
      <c r="BY219" s="330">
        <v>31</v>
      </c>
      <c r="BZ219" s="330">
        <v>14</v>
      </c>
      <c r="CA219" s="330">
        <v>8</v>
      </c>
      <c r="CB219" s="330">
        <v>5</v>
      </c>
      <c r="CC219" s="330">
        <v>0</v>
      </c>
      <c r="CD219" s="330">
        <v>1</v>
      </c>
      <c r="CE219" s="328">
        <v>231</v>
      </c>
      <c r="CF219" s="322" t="s">
        <v>934</v>
      </c>
      <c r="CG219" s="323">
        <v>1919</v>
      </c>
      <c r="CH219" s="323">
        <v>258</v>
      </c>
      <c r="CI219" s="323">
        <v>190</v>
      </c>
      <c r="CJ219" s="323">
        <v>79</v>
      </c>
      <c r="CK219" s="323">
        <v>35</v>
      </c>
      <c r="CL219" s="323">
        <v>14</v>
      </c>
      <c r="CM219" s="323">
        <v>13</v>
      </c>
      <c r="CN219" s="323">
        <v>2</v>
      </c>
      <c r="CO219" s="323">
        <v>2510</v>
      </c>
      <c r="CP219" s="329" t="s">
        <v>934</v>
      </c>
      <c r="CQ219" s="330">
        <v>0</v>
      </c>
      <c r="CR219" s="330">
        <v>0</v>
      </c>
      <c r="CS219" s="330">
        <v>0</v>
      </c>
      <c r="CT219" s="330">
        <v>0</v>
      </c>
      <c r="CU219" s="330">
        <v>0</v>
      </c>
      <c r="CV219" s="330">
        <v>0</v>
      </c>
      <c r="CW219" s="330">
        <v>0</v>
      </c>
      <c r="CX219" s="330">
        <v>0</v>
      </c>
      <c r="CY219" s="328">
        <v>0</v>
      </c>
      <c r="CZ219" s="322" t="s">
        <v>934</v>
      </c>
      <c r="DA219" s="323">
        <v>0</v>
      </c>
      <c r="DB219" s="323">
        <v>0</v>
      </c>
      <c r="DC219" s="323">
        <v>0</v>
      </c>
      <c r="DD219" s="323">
        <v>0</v>
      </c>
      <c r="DE219" s="323">
        <v>0</v>
      </c>
      <c r="DF219" s="323">
        <v>0</v>
      </c>
      <c r="DG219" s="323">
        <v>0</v>
      </c>
      <c r="DH219" s="323">
        <v>0</v>
      </c>
      <c r="DI219" s="323">
        <v>0</v>
      </c>
      <c r="DJ219" s="337">
        <v>0</v>
      </c>
      <c r="DK219" s="644">
        <v>63258.2</v>
      </c>
      <c r="DL219" s="614">
        <v>51074</v>
      </c>
      <c r="DM219" s="614">
        <v>15956</v>
      </c>
      <c r="DN219" s="614">
        <v>14886</v>
      </c>
      <c r="DO219" s="614">
        <v>6324</v>
      </c>
      <c r="DP219" s="614">
        <v>3053</v>
      </c>
      <c r="DQ219" s="614">
        <v>1396</v>
      </c>
      <c r="DR219" s="614">
        <v>835</v>
      </c>
      <c r="DS219" s="615">
        <v>73</v>
      </c>
      <c r="DT219" s="607">
        <f t="shared" si="3"/>
        <v>93597</v>
      </c>
      <c r="DU219" s="342"/>
      <c r="EC219" s="646"/>
      <c r="EF219" s="123"/>
      <c r="EG219" s="124"/>
    </row>
    <row r="220" spans="1:137" ht="15">
      <c r="A220" s="22">
        <v>212</v>
      </c>
      <c r="B220" s="23" t="s">
        <v>558</v>
      </c>
      <c r="C220" s="24" t="s">
        <v>559</v>
      </c>
      <c r="D220" s="613"/>
      <c r="E220" s="628">
        <v>5088</v>
      </c>
      <c r="F220" s="628">
        <v>4455</v>
      </c>
      <c r="G220" s="628">
        <v>2856</v>
      </c>
      <c r="H220" s="628">
        <v>2599</v>
      </c>
      <c r="I220" s="628">
        <v>1543</v>
      </c>
      <c r="J220" s="628">
        <v>358</v>
      </c>
      <c r="K220" s="628">
        <v>136</v>
      </c>
      <c r="L220" s="628">
        <v>16</v>
      </c>
      <c r="M220" s="627">
        <v>17051</v>
      </c>
      <c r="N220" s="322"/>
      <c r="O220" s="323">
        <v>158</v>
      </c>
      <c r="P220" s="323">
        <v>89</v>
      </c>
      <c r="Q220" s="323">
        <v>68</v>
      </c>
      <c r="R220" s="323">
        <v>43</v>
      </c>
      <c r="S220" s="323">
        <v>31</v>
      </c>
      <c r="T220" s="323">
        <v>7</v>
      </c>
      <c r="U220" s="323">
        <v>4</v>
      </c>
      <c r="V220" s="323">
        <v>2</v>
      </c>
      <c r="W220" s="323">
        <v>402</v>
      </c>
      <c r="X220" s="329" t="s">
        <v>934</v>
      </c>
      <c r="Y220" s="330">
        <v>0</v>
      </c>
      <c r="Z220" s="330">
        <v>1</v>
      </c>
      <c r="AA220" s="330">
        <v>0</v>
      </c>
      <c r="AB220" s="330">
        <v>0</v>
      </c>
      <c r="AC220" s="330">
        <v>0</v>
      </c>
      <c r="AD220" s="330">
        <v>0</v>
      </c>
      <c r="AE220" s="330">
        <v>0</v>
      </c>
      <c r="AF220" s="330">
        <v>0</v>
      </c>
      <c r="AG220" s="328">
        <v>1</v>
      </c>
      <c r="AH220" s="329" t="s">
        <v>934</v>
      </c>
      <c r="AI220" s="184">
        <v>17</v>
      </c>
      <c r="AJ220" s="184">
        <v>30</v>
      </c>
      <c r="AK220" s="184">
        <v>41</v>
      </c>
      <c r="AL220" s="184">
        <v>39</v>
      </c>
      <c r="AM220" s="184">
        <v>23</v>
      </c>
      <c r="AN220" s="184">
        <v>13</v>
      </c>
      <c r="AO220" s="184">
        <v>9</v>
      </c>
      <c r="AP220" s="184">
        <v>3</v>
      </c>
      <c r="AQ220" s="336">
        <v>175</v>
      </c>
      <c r="AR220" s="323">
        <v>0</v>
      </c>
      <c r="AS220" s="323">
        <v>2511</v>
      </c>
      <c r="AT220" s="323">
        <v>1514</v>
      </c>
      <c r="AU220" s="323">
        <v>737</v>
      </c>
      <c r="AV220" s="323">
        <v>536</v>
      </c>
      <c r="AW220" s="323">
        <v>229</v>
      </c>
      <c r="AX220" s="323">
        <v>49</v>
      </c>
      <c r="AY220" s="323">
        <v>14</v>
      </c>
      <c r="AZ220" s="323">
        <v>1</v>
      </c>
      <c r="BA220" s="323">
        <v>5591</v>
      </c>
      <c r="BB220" s="331">
        <v>0</v>
      </c>
      <c r="BC220" s="330">
        <v>43</v>
      </c>
      <c r="BD220" s="330">
        <v>39</v>
      </c>
      <c r="BE220" s="330">
        <v>30</v>
      </c>
      <c r="BF220" s="330">
        <v>22</v>
      </c>
      <c r="BG220" s="330">
        <v>8</v>
      </c>
      <c r="BH220" s="330">
        <v>1</v>
      </c>
      <c r="BI220" s="330">
        <v>1</v>
      </c>
      <c r="BJ220" s="330">
        <v>0</v>
      </c>
      <c r="BK220" s="328">
        <v>144</v>
      </c>
      <c r="BL220" s="323">
        <v>0</v>
      </c>
      <c r="BM220" s="323">
        <v>2</v>
      </c>
      <c r="BN220" s="323">
        <v>3</v>
      </c>
      <c r="BO220" s="323">
        <v>4</v>
      </c>
      <c r="BP220" s="323">
        <v>2</v>
      </c>
      <c r="BQ220" s="323">
        <v>2</v>
      </c>
      <c r="BR220" s="323">
        <v>0</v>
      </c>
      <c r="BS220" s="323">
        <v>2</v>
      </c>
      <c r="BT220" s="323">
        <v>0</v>
      </c>
      <c r="BU220" s="323">
        <v>15</v>
      </c>
      <c r="BV220" s="329" t="s">
        <v>934</v>
      </c>
      <c r="BW220" s="330">
        <v>12</v>
      </c>
      <c r="BX220" s="330">
        <v>16</v>
      </c>
      <c r="BY220" s="330">
        <v>22</v>
      </c>
      <c r="BZ220" s="330">
        <v>10</v>
      </c>
      <c r="CA220" s="330">
        <v>5</v>
      </c>
      <c r="CB220" s="330">
        <v>4</v>
      </c>
      <c r="CC220" s="330">
        <v>3</v>
      </c>
      <c r="CD220" s="330">
        <v>0</v>
      </c>
      <c r="CE220" s="328">
        <v>72</v>
      </c>
      <c r="CF220" s="322" t="s">
        <v>934</v>
      </c>
      <c r="CG220" s="323">
        <v>8</v>
      </c>
      <c r="CH220" s="323">
        <v>3</v>
      </c>
      <c r="CI220" s="323">
        <v>2</v>
      </c>
      <c r="CJ220" s="323">
        <v>1</v>
      </c>
      <c r="CK220" s="323">
        <v>2</v>
      </c>
      <c r="CL220" s="323">
        <v>0</v>
      </c>
      <c r="CM220" s="323">
        <v>0</v>
      </c>
      <c r="CN220" s="323">
        <v>0</v>
      </c>
      <c r="CO220" s="323">
        <v>16</v>
      </c>
      <c r="CP220" s="329" t="s">
        <v>934</v>
      </c>
      <c r="CQ220" s="330">
        <v>70</v>
      </c>
      <c r="CR220" s="330">
        <v>44</v>
      </c>
      <c r="CS220" s="330">
        <v>22</v>
      </c>
      <c r="CT220" s="330">
        <v>21</v>
      </c>
      <c r="CU220" s="330">
        <v>7</v>
      </c>
      <c r="CV220" s="330">
        <v>2</v>
      </c>
      <c r="CW220" s="330">
        <v>0</v>
      </c>
      <c r="CX220" s="330">
        <v>0</v>
      </c>
      <c r="CY220" s="328">
        <v>166</v>
      </c>
      <c r="CZ220" s="322" t="s">
        <v>934</v>
      </c>
      <c r="DA220" s="323">
        <v>6</v>
      </c>
      <c r="DB220" s="323">
        <v>6</v>
      </c>
      <c r="DC220" s="323">
        <v>4</v>
      </c>
      <c r="DD220" s="323">
        <v>2</v>
      </c>
      <c r="DE220" s="323">
        <v>0</v>
      </c>
      <c r="DF220" s="323">
        <v>0</v>
      </c>
      <c r="DG220" s="323">
        <v>1</v>
      </c>
      <c r="DH220" s="323">
        <v>0</v>
      </c>
      <c r="DI220" s="323">
        <v>19</v>
      </c>
      <c r="DJ220" s="337">
        <v>0</v>
      </c>
      <c r="DK220" s="644">
        <v>13107.7</v>
      </c>
      <c r="DL220" s="614">
        <v>5099</v>
      </c>
      <c r="DM220" s="614">
        <v>4534</v>
      </c>
      <c r="DN220" s="614">
        <v>2936</v>
      </c>
      <c r="DO220" s="614">
        <v>2629</v>
      </c>
      <c r="DP220" s="614">
        <v>1581</v>
      </c>
      <c r="DQ220" s="614">
        <v>385</v>
      </c>
      <c r="DR220" s="614">
        <v>155</v>
      </c>
      <c r="DS220" s="615">
        <v>16</v>
      </c>
      <c r="DT220" s="607">
        <f t="shared" si="3"/>
        <v>17335</v>
      </c>
      <c r="DU220" s="342"/>
      <c r="EC220" s="646"/>
      <c r="EF220" s="123"/>
      <c r="EG220" s="124"/>
    </row>
    <row r="221" spans="1:137" ht="15">
      <c r="A221" s="22">
        <v>213</v>
      </c>
      <c r="B221" s="23" t="s">
        <v>560</v>
      </c>
      <c r="C221" s="24" t="s">
        <v>561</v>
      </c>
      <c r="D221" s="613"/>
      <c r="E221" s="628">
        <v>2285</v>
      </c>
      <c r="F221" s="628">
        <v>8197</v>
      </c>
      <c r="G221" s="628">
        <v>17574</v>
      </c>
      <c r="H221" s="628">
        <v>15125</v>
      </c>
      <c r="I221" s="628">
        <v>6329</v>
      </c>
      <c r="J221" s="628">
        <v>2652</v>
      </c>
      <c r="K221" s="628">
        <v>3194</v>
      </c>
      <c r="L221" s="628">
        <v>561</v>
      </c>
      <c r="M221" s="627">
        <v>55917</v>
      </c>
      <c r="N221" s="322"/>
      <c r="O221" s="323">
        <v>389</v>
      </c>
      <c r="P221" s="323">
        <v>693</v>
      </c>
      <c r="Q221" s="323">
        <v>1040</v>
      </c>
      <c r="R221" s="323">
        <v>1469</v>
      </c>
      <c r="S221" s="323">
        <v>655</v>
      </c>
      <c r="T221" s="323">
        <v>197</v>
      </c>
      <c r="U221" s="323">
        <v>260</v>
      </c>
      <c r="V221" s="323">
        <v>218</v>
      </c>
      <c r="W221" s="323">
        <v>4921</v>
      </c>
      <c r="X221" s="329" t="s">
        <v>934</v>
      </c>
      <c r="Y221" s="330">
        <v>0</v>
      </c>
      <c r="Z221" s="330">
        <v>0</v>
      </c>
      <c r="AA221" s="330">
        <v>0</v>
      </c>
      <c r="AB221" s="330">
        <v>0</v>
      </c>
      <c r="AC221" s="330">
        <v>0</v>
      </c>
      <c r="AD221" s="330">
        <v>1</v>
      </c>
      <c r="AE221" s="330">
        <v>0</v>
      </c>
      <c r="AF221" s="330">
        <v>0</v>
      </c>
      <c r="AG221" s="328">
        <v>1</v>
      </c>
      <c r="AH221" s="329" t="s">
        <v>934</v>
      </c>
      <c r="AI221" s="184">
        <v>5</v>
      </c>
      <c r="AJ221" s="184">
        <v>29</v>
      </c>
      <c r="AK221" s="184">
        <v>101</v>
      </c>
      <c r="AL221" s="184">
        <v>84</v>
      </c>
      <c r="AM221" s="184">
        <v>48</v>
      </c>
      <c r="AN221" s="184">
        <v>20</v>
      </c>
      <c r="AO221" s="184">
        <v>23</v>
      </c>
      <c r="AP221" s="184">
        <v>9</v>
      </c>
      <c r="AQ221" s="336">
        <v>319</v>
      </c>
      <c r="AR221" s="323">
        <v>3</v>
      </c>
      <c r="AS221" s="323">
        <v>1166</v>
      </c>
      <c r="AT221" s="323">
        <v>4306</v>
      </c>
      <c r="AU221" s="323">
        <v>5715</v>
      </c>
      <c r="AV221" s="323">
        <v>3866</v>
      </c>
      <c r="AW221" s="323">
        <v>1466</v>
      </c>
      <c r="AX221" s="323">
        <v>533</v>
      </c>
      <c r="AY221" s="323">
        <v>545</v>
      </c>
      <c r="AZ221" s="323">
        <v>24</v>
      </c>
      <c r="BA221" s="323">
        <v>17624</v>
      </c>
      <c r="BB221" s="331">
        <v>0</v>
      </c>
      <c r="BC221" s="330">
        <v>13</v>
      </c>
      <c r="BD221" s="330">
        <v>81</v>
      </c>
      <c r="BE221" s="330">
        <v>249</v>
      </c>
      <c r="BF221" s="330">
        <v>280</v>
      </c>
      <c r="BG221" s="330">
        <v>120</v>
      </c>
      <c r="BH221" s="330">
        <v>37</v>
      </c>
      <c r="BI221" s="330">
        <v>31</v>
      </c>
      <c r="BJ221" s="330">
        <v>2</v>
      </c>
      <c r="BK221" s="328">
        <v>813</v>
      </c>
      <c r="BL221" s="323">
        <v>1</v>
      </c>
      <c r="BM221" s="323">
        <v>2</v>
      </c>
      <c r="BN221" s="323">
        <v>8</v>
      </c>
      <c r="BO221" s="323">
        <v>40</v>
      </c>
      <c r="BP221" s="323">
        <v>26</v>
      </c>
      <c r="BQ221" s="323">
        <v>16</v>
      </c>
      <c r="BR221" s="323">
        <v>17</v>
      </c>
      <c r="BS221" s="323">
        <v>31</v>
      </c>
      <c r="BT221" s="323">
        <v>15</v>
      </c>
      <c r="BU221" s="323">
        <v>156</v>
      </c>
      <c r="BV221" s="329" t="s">
        <v>934</v>
      </c>
      <c r="BW221" s="330">
        <v>57</v>
      </c>
      <c r="BX221" s="330">
        <v>154</v>
      </c>
      <c r="BY221" s="330">
        <v>282</v>
      </c>
      <c r="BZ221" s="330">
        <v>362</v>
      </c>
      <c r="CA221" s="330">
        <v>222</v>
      </c>
      <c r="CB221" s="330">
        <v>67</v>
      </c>
      <c r="CC221" s="330">
        <v>56</v>
      </c>
      <c r="CD221" s="330">
        <v>10</v>
      </c>
      <c r="CE221" s="328">
        <v>1210</v>
      </c>
      <c r="CF221" s="322" t="s">
        <v>934</v>
      </c>
      <c r="CG221" s="323">
        <v>0</v>
      </c>
      <c r="CH221" s="323">
        <v>0</v>
      </c>
      <c r="CI221" s="323">
        <v>0</v>
      </c>
      <c r="CJ221" s="323">
        <v>0</v>
      </c>
      <c r="CK221" s="323">
        <v>0</v>
      </c>
      <c r="CL221" s="323">
        <v>0</v>
      </c>
      <c r="CM221" s="323">
        <v>0</v>
      </c>
      <c r="CN221" s="323">
        <v>0</v>
      </c>
      <c r="CO221" s="323">
        <v>0</v>
      </c>
      <c r="CP221" s="329" t="s">
        <v>934</v>
      </c>
      <c r="CQ221" s="330">
        <v>123</v>
      </c>
      <c r="CR221" s="330">
        <v>130</v>
      </c>
      <c r="CS221" s="330">
        <v>108</v>
      </c>
      <c r="CT221" s="330">
        <v>101</v>
      </c>
      <c r="CU221" s="330">
        <v>63</v>
      </c>
      <c r="CV221" s="330">
        <v>19</v>
      </c>
      <c r="CW221" s="330">
        <v>24</v>
      </c>
      <c r="CX221" s="330">
        <v>10</v>
      </c>
      <c r="CY221" s="328">
        <v>578</v>
      </c>
      <c r="CZ221" s="322" t="s">
        <v>934</v>
      </c>
      <c r="DA221" s="323">
        <v>0</v>
      </c>
      <c r="DB221" s="323">
        <v>0</v>
      </c>
      <c r="DC221" s="323">
        <v>0</v>
      </c>
      <c r="DD221" s="323">
        <v>0</v>
      </c>
      <c r="DE221" s="323">
        <v>0</v>
      </c>
      <c r="DF221" s="323">
        <v>0</v>
      </c>
      <c r="DG221" s="323">
        <v>0</v>
      </c>
      <c r="DH221" s="323">
        <v>0</v>
      </c>
      <c r="DI221" s="323">
        <v>0</v>
      </c>
      <c r="DJ221" s="337">
        <v>6.2</v>
      </c>
      <c r="DK221" s="644">
        <v>46388.6</v>
      </c>
      <c r="DL221" s="614">
        <v>2260</v>
      </c>
      <c r="DM221" s="614">
        <v>8410</v>
      </c>
      <c r="DN221" s="614">
        <v>18035</v>
      </c>
      <c r="DO221" s="614">
        <v>15186</v>
      </c>
      <c r="DP221" s="614">
        <v>6349</v>
      </c>
      <c r="DQ221" s="614">
        <v>2667</v>
      </c>
      <c r="DR221" s="614">
        <v>3113</v>
      </c>
      <c r="DS221" s="615">
        <v>558</v>
      </c>
      <c r="DT221" s="607">
        <f t="shared" si="3"/>
        <v>56578</v>
      </c>
      <c r="DU221" s="342"/>
      <c r="EC221" s="646"/>
      <c r="EF221" s="126"/>
      <c r="EG221" s="124"/>
    </row>
    <row r="222" spans="1:137" ht="15">
      <c r="A222" s="22">
        <v>214</v>
      </c>
      <c r="B222" s="23" t="s">
        <v>562</v>
      </c>
      <c r="C222" s="24" t="s">
        <v>563</v>
      </c>
      <c r="D222" s="613"/>
      <c r="E222" s="628">
        <v>24718</v>
      </c>
      <c r="F222" s="628">
        <v>4303</v>
      </c>
      <c r="G222" s="628">
        <v>4073</v>
      </c>
      <c r="H222" s="628">
        <v>2900</v>
      </c>
      <c r="I222" s="628">
        <v>1711</v>
      </c>
      <c r="J222" s="628">
        <v>947</v>
      </c>
      <c r="K222" s="628">
        <v>517</v>
      </c>
      <c r="L222" s="628">
        <v>44</v>
      </c>
      <c r="M222" s="627">
        <v>39213</v>
      </c>
      <c r="N222" s="322"/>
      <c r="O222" s="323">
        <v>711</v>
      </c>
      <c r="P222" s="323">
        <v>106</v>
      </c>
      <c r="Q222" s="323">
        <v>67</v>
      </c>
      <c r="R222" s="323">
        <v>42</v>
      </c>
      <c r="S222" s="323">
        <v>18</v>
      </c>
      <c r="T222" s="323">
        <v>13</v>
      </c>
      <c r="U222" s="323">
        <v>6</v>
      </c>
      <c r="V222" s="323">
        <v>0</v>
      </c>
      <c r="W222" s="323">
        <v>963</v>
      </c>
      <c r="X222" s="329" t="s">
        <v>934</v>
      </c>
      <c r="Y222" s="330">
        <v>0</v>
      </c>
      <c r="Z222" s="330">
        <v>0</v>
      </c>
      <c r="AA222" s="330">
        <v>0</v>
      </c>
      <c r="AB222" s="330">
        <v>0</v>
      </c>
      <c r="AC222" s="330">
        <v>0</v>
      </c>
      <c r="AD222" s="330">
        <v>0</v>
      </c>
      <c r="AE222" s="330">
        <v>0</v>
      </c>
      <c r="AF222" s="330">
        <v>0</v>
      </c>
      <c r="AG222" s="328">
        <v>0</v>
      </c>
      <c r="AH222" s="329" t="s">
        <v>934</v>
      </c>
      <c r="AI222" s="184">
        <v>72</v>
      </c>
      <c r="AJ222" s="184">
        <v>38</v>
      </c>
      <c r="AK222" s="184">
        <v>41</v>
      </c>
      <c r="AL222" s="184">
        <v>34</v>
      </c>
      <c r="AM222" s="184">
        <v>27</v>
      </c>
      <c r="AN222" s="184">
        <v>13</v>
      </c>
      <c r="AO222" s="184">
        <v>17</v>
      </c>
      <c r="AP222" s="184">
        <v>5</v>
      </c>
      <c r="AQ222" s="336">
        <v>247</v>
      </c>
      <c r="AR222" s="323">
        <v>10</v>
      </c>
      <c r="AS222" s="323">
        <v>10713</v>
      </c>
      <c r="AT222" s="323">
        <v>1335</v>
      </c>
      <c r="AU222" s="323">
        <v>985</v>
      </c>
      <c r="AV222" s="323">
        <v>576</v>
      </c>
      <c r="AW222" s="323">
        <v>278</v>
      </c>
      <c r="AX222" s="323">
        <v>128</v>
      </c>
      <c r="AY222" s="323">
        <v>52</v>
      </c>
      <c r="AZ222" s="323">
        <v>3</v>
      </c>
      <c r="BA222" s="323">
        <v>14080</v>
      </c>
      <c r="BB222" s="331">
        <v>4</v>
      </c>
      <c r="BC222" s="330">
        <v>130</v>
      </c>
      <c r="BD222" s="330">
        <v>19</v>
      </c>
      <c r="BE222" s="330">
        <v>18</v>
      </c>
      <c r="BF222" s="330">
        <v>13</v>
      </c>
      <c r="BG222" s="330">
        <v>9</v>
      </c>
      <c r="BH222" s="330">
        <v>3</v>
      </c>
      <c r="BI222" s="330">
        <v>1</v>
      </c>
      <c r="BJ222" s="330">
        <v>0</v>
      </c>
      <c r="BK222" s="328">
        <v>197</v>
      </c>
      <c r="BL222" s="323">
        <v>0</v>
      </c>
      <c r="BM222" s="323">
        <v>5</v>
      </c>
      <c r="BN222" s="323">
        <v>4</v>
      </c>
      <c r="BO222" s="323">
        <v>5</v>
      </c>
      <c r="BP222" s="323">
        <v>9</v>
      </c>
      <c r="BQ222" s="323">
        <v>4</v>
      </c>
      <c r="BR222" s="323">
        <v>13</v>
      </c>
      <c r="BS222" s="323">
        <v>7</v>
      </c>
      <c r="BT222" s="323">
        <v>1</v>
      </c>
      <c r="BU222" s="323">
        <v>48</v>
      </c>
      <c r="BV222" s="329" t="s">
        <v>934</v>
      </c>
      <c r="BW222" s="330">
        <v>46</v>
      </c>
      <c r="BX222" s="330">
        <v>18</v>
      </c>
      <c r="BY222" s="330">
        <v>6</v>
      </c>
      <c r="BZ222" s="330">
        <v>7</v>
      </c>
      <c r="CA222" s="330">
        <v>3</v>
      </c>
      <c r="CB222" s="330">
        <v>4</v>
      </c>
      <c r="CC222" s="330">
        <v>5</v>
      </c>
      <c r="CD222" s="330">
        <v>0</v>
      </c>
      <c r="CE222" s="328">
        <v>89</v>
      </c>
      <c r="CF222" s="322" t="s">
        <v>934</v>
      </c>
      <c r="CG222" s="323">
        <v>1501</v>
      </c>
      <c r="CH222" s="323">
        <v>94</v>
      </c>
      <c r="CI222" s="323">
        <v>62</v>
      </c>
      <c r="CJ222" s="323">
        <v>40</v>
      </c>
      <c r="CK222" s="323">
        <v>25</v>
      </c>
      <c r="CL222" s="323">
        <v>19</v>
      </c>
      <c r="CM222" s="323">
        <v>6</v>
      </c>
      <c r="CN222" s="323">
        <v>0</v>
      </c>
      <c r="CO222" s="323">
        <v>1747</v>
      </c>
      <c r="CP222" s="329" t="s">
        <v>934</v>
      </c>
      <c r="CQ222" s="330">
        <v>0</v>
      </c>
      <c r="CR222" s="330">
        <v>0</v>
      </c>
      <c r="CS222" s="330">
        <v>0</v>
      </c>
      <c r="CT222" s="330">
        <v>0</v>
      </c>
      <c r="CU222" s="330">
        <v>0</v>
      </c>
      <c r="CV222" s="330">
        <v>0</v>
      </c>
      <c r="CW222" s="330">
        <v>0</v>
      </c>
      <c r="CX222" s="330">
        <v>0</v>
      </c>
      <c r="CY222" s="328">
        <v>0</v>
      </c>
      <c r="CZ222" s="322" t="s">
        <v>934</v>
      </c>
      <c r="DA222" s="323">
        <v>0</v>
      </c>
      <c r="DB222" s="323">
        <v>0</v>
      </c>
      <c r="DC222" s="323">
        <v>0</v>
      </c>
      <c r="DD222" s="323">
        <v>0</v>
      </c>
      <c r="DE222" s="323">
        <v>0</v>
      </c>
      <c r="DF222" s="323">
        <v>0</v>
      </c>
      <c r="DG222" s="323">
        <v>0</v>
      </c>
      <c r="DH222" s="323">
        <v>0</v>
      </c>
      <c r="DI222" s="323">
        <v>0</v>
      </c>
      <c r="DJ222" s="337">
        <v>0</v>
      </c>
      <c r="DK222" s="644">
        <v>26725.6</v>
      </c>
      <c r="DL222" s="614">
        <v>24764</v>
      </c>
      <c r="DM222" s="614">
        <v>4382</v>
      </c>
      <c r="DN222" s="614">
        <v>4149</v>
      </c>
      <c r="DO222" s="614">
        <v>2961</v>
      </c>
      <c r="DP222" s="614">
        <v>1727</v>
      </c>
      <c r="DQ222" s="614">
        <v>949</v>
      </c>
      <c r="DR222" s="614">
        <v>526</v>
      </c>
      <c r="DS222" s="615">
        <v>44</v>
      </c>
      <c r="DT222" s="607">
        <f t="shared" si="3"/>
        <v>39502</v>
      </c>
      <c r="DU222" s="342"/>
      <c r="EC222" s="646"/>
      <c r="EF222" s="126"/>
      <c r="EG222" s="124"/>
    </row>
    <row r="223" spans="1:137" ht="15">
      <c r="A223" s="22">
        <v>215</v>
      </c>
      <c r="B223" s="23" t="s">
        <v>564</v>
      </c>
      <c r="C223" s="24" t="s">
        <v>565</v>
      </c>
      <c r="D223" s="613"/>
      <c r="E223" s="629">
        <v>7531</v>
      </c>
      <c r="F223" s="629">
        <v>9086</v>
      </c>
      <c r="G223" s="629">
        <v>6415</v>
      </c>
      <c r="H223" s="629">
        <v>5269</v>
      </c>
      <c r="I223" s="629">
        <v>2569</v>
      </c>
      <c r="J223" s="629">
        <v>962</v>
      </c>
      <c r="K223" s="629">
        <v>301</v>
      </c>
      <c r="L223" s="629">
        <v>10</v>
      </c>
      <c r="M223" s="627">
        <v>32143</v>
      </c>
      <c r="N223" s="322"/>
      <c r="O223" s="323">
        <v>327</v>
      </c>
      <c r="P223" s="323">
        <v>199</v>
      </c>
      <c r="Q223" s="323">
        <v>134</v>
      </c>
      <c r="R223" s="323">
        <v>107</v>
      </c>
      <c r="S223" s="323">
        <v>45</v>
      </c>
      <c r="T223" s="323">
        <v>13</v>
      </c>
      <c r="U223" s="323">
        <v>4</v>
      </c>
      <c r="V223" s="323">
        <v>0</v>
      </c>
      <c r="W223" s="323">
        <v>829</v>
      </c>
      <c r="X223" s="329" t="s">
        <v>934</v>
      </c>
      <c r="Y223" s="330">
        <v>6</v>
      </c>
      <c r="Z223" s="330">
        <v>2</v>
      </c>
      <c r="AA223" s="330">
        <v>2</v>
      </c>
      <c r="AB223" s="330">
        <v>1</v>
      </c>
      <c r="AC223" s="330">
        <v>1</v>
      </c>
      <c r="AD223" s="330">
        <v>0</v>
      </c>
      <c r="AE223" s="330">
        <v>0</v>
      </c>
      <c r="AF223" s="330">
        <v>0</v>
      </c>
      <c r="AG223" s="328">
        <v>12</v>
      </c>
      <c r="AH223" s="329" t="s">
        <v>934</v>
      </c>
      <c r="AI223" s="184">
        <v>2</v>
      </c>
      <c r="AJ223" s="184">
        <v>12</v>
      </c>
      <c r="AK223" s="184">
        <v>22</v>
      </c>
      <c r="AL223" s="184">
        <v>30</v>
      </c>
      <c r="AM223" s="184">
        <v>15</v>
      </c>
      <c r="AN223" s="184">
        <v>11</v>
      </c>
      <c r="AO223" s="184">
        <v>15</v>
      </c>
      <c r="AP223" s="184">
        <v>3</v>
      </c>
      <c r="AQ223" s="336">
        <v>110</v>
      </c>
      <c r="AR223" s="323">
        <v>0</v>
      </c>
      <c r="AS223" s="323">
        <v>3573</v>
      </c>
      <c r="AT223" s="323">
        <v>3142</v>
      </c>
      <c r="AU223" s="323">
        <v>1717</v>
      </c>
      <c r="AV223" s="323">
        <v>1160</v>
      </c>
      <c r="AW223" s="323">
        <v>467</v>
      </c>
      <c r="AX223" s="323">
        <v>145</v>
      </c>
      <c r="AY223" s="323">
        <v>39</v>
      </c>
      <c r="AZ223" s="323">
        <v>0</v>
      </c>
      <c r="BA223" s="323">
        <v>10243</v>
      </c>
      <c r="BB223" s="331">
        <v>0</v>
      </c>
      <c r="BC223" s="330">
        <v>22</v>
      </c>
      <c r="BD223" s="330">
        <v>51</v>
      </c>
      <c r="BE223" s="330">
        <v>40</v>
      </c>
      <c r="BF223" s="330">
        <v>26</v>
      </c>
      <c r="BG223" s="330">
        <v>10</v>
      </c>
      <c r="BH223" s="330">
        <v>4</v>
      </c>
      <c r="BI223" s="330">
        <v>2</v>
      </c>
      <c r="BJ223" s="330">
        <v>0</v>
      </c>
      <c r="BK223" s="328">
        <v>155</v>
      </c>
      <c r="BL223" s="323">
        <v>0</v>
      </c>
      <c r="BM223" s="323">
        <v>1</v>
      </c>
      <c r="BN223" s="323">
        <v>2</v>
      </c>
      <c r="BO223" s="323">
        <v>6</v>
      </c>
      <c r="BP223" s="323">
        <v>4</v>
      </c>
      <c r="BQ223" s="323">
        <v>6</v>
      </c>
      <c r="BR223" s="323">
        <v>11</v>
      </c>
      <c r="BS223" s="323">
        <v>6</v>
      </c>
      <c r="BT223" s="323">
        <v>3</v>
      </c>
      <c r="BU223" s="323">
        <v>39</v>
      </c>
      <c r="BV223" s="329" t="s">
        <v>934</v>
      </c>
      <c r="BW223" s="330">
        <v>645</v>
      </c>
      <c r="BX223" s="330">
        <v>679</v>
      </c>
      <c r="BY223" s="330">
        <v>628</v>
      </c>
      <c r="BZ223" s="330">
        <v>359</v>
      </c>
      <c r="CA223" s="330">
        <v>166</v>
      </c>
      <c r="CB223" s="330">
        <v>56</v>
      </c>
      <c r="CC223" s="330">
        <v>23</v>
      </c>
      <c r="CD223" s="330">
        <v>2</v>
      </c>
      <c r="CE223" s="328">
        <v>2558</v>
      </c>
      <c r="CF223" s="322" t="s">
        <v>934</v>
      </c>
      <c r="CG223" s="323">
        <v>0</v>
      </c>
      <c r="CH223" s="323">
        <v>0</v>
      </c>
      <c r="CI223" s="323">
        <v>0</v>
      </c>
      <c r="CJ223" s="323">
        <v>0</v>
      </c>
      <c r="CK223" s="323">
        <v>0</v>
      </c>
      <c r="CL223" s="323">
        <v>0</v>
      </c>
      <c r="CM223" s="323">
        <v>0</v>
      </c>
      <c r="CN223" s="323">
        <v>0</v>
      </c>
      <c r="CO223" s="323">
        <v>0</v>
      </c>
      <c r="CP223" s="329" t="s">
        <v>934</v>
      </c>
      <c r="CQ223" s="330">
        <v>63</v>
      </c>
      <c r="CR223" s="330">
        <v>68</v>
      </c>
      <c r="CS223" s="330">
        <v>50</v>
      </c>
      <c r="CT223" s="330">
        <v>34</v>
      </c>
      <c r="CU223" s="330">
        <v>20</v>
      </c>
      <c r="CV223" s="330">
        <v>6</v>
      </c>
      <c r="CW223" s="330">
        <v>1</v>
      </c>
      <c r="CX223" s="330">
        <v>0</v>
      </c>
      <c r="CY223" s="328">
        <v>242</v>
      </c>
      <c r="CZ223" s="322" t="s">
        <v>934</v>
      </c>
      <c r="DA223" s="323">
        <v>0</v>
      </c>
      <c r="DB223" s="323">
        <v>0</v>
      </c>
      <c r="DC223" s="323">
        <v>0</v>
      </c>
      <c r="DD223" s="323">
        <v>0</v>
      </c>
      <c r="DE223" s="323">
        <v>0</v>
      </c>
      <c r="DF223" s="323">
        <v>0</v>
      </c>
      <c r="DG223" s="323">
        <v>0</v>
      </c>
      <c r="DH223" s="323">
        <v>0</v>
      </c>
      <c r="DI223" s="323">
        <v>0</v>
      </c>
      <c r="DJ223" s="337">
        <v>0</v>
      </c>
      <c r="DK223" s="644">
        <v>24153.8</v>
      </c>
      <c r="DL223" s="616">
        <v>7634</v>
      </c>
      <c r="DM223" s="616">
        <v>9196</v>
      </c>
      <c r="DN223" s="616">
        <v>6489</v>
      </c>
      <c r="DO223" s="616">
        <v>5292</v>
      </c>
      <c r="DP223" s="616">
        <v>2593</v>
      </c>
      <c r="DQ223" s="616">
        <v>960</v>
      </c>
      <c r="DR223" s="616">
        <v>295</v>
      </c>
      <c r="DS223" s="617">
        <v>11</v>
      </c>
      <c r="DT223" s="607">
        <f t="shared" si="3"/>
        <v>32470</v>
      </c>
      <c r="DU223" s="342"/>
      <c r="EC223" s="646"/>
      <c r="EF223" s="125"/>
      <c r="EG223" s="124"/>
    </row>
    <row r="224" spans="1:137" ht="15">
      <c r="A224" s="22">
        <v>216</v>
      </c>
      <c r="B224" s="23" t="s">
        <v>566</v>
      </c>
      <c r="C224" s="24" t="s">
        <v>567</v>
      </c>
      <c r="D224" s="613"/>
      <c r="E224" s="629">
        <v>32572</v>
      </c>
      <c r="F224" s="629">
        <v>16778</v>
      </c>
      <c r="G224" s="629">
        <v>11586</v>
      </c>
      <c r="H224" s="629">
        <v>6039</v>
      </c>
      <c r="I224" s="629">
        <v>3706</v>
      </c>
      <c r="J224" s="629">
        <v>1606</v>
      </c>
      <c r="K224" s="629">
        <v>798</v>
      </c>
      <c r="L224" s="629">
        <v>58</v>
      </c>
      <c r="M224" s="627">
        <v>73143</v>
      </c>
      <c r="N224" s="322"/>
      <c r="O224" s="323">
        <v>1257</v>
      </c>
      <c r="P224" s="323">
        <v>538</v>
      </c>
      <c r="Q224" s="323">
        <v>237</v>
      </c>
      <c r="R224" s="323">
        <v>125</v>
      </c>
      <c r="S224" s="323">
        <v>65</v>
      </c>
      <c r="T224" s="323">
        <v>31</v>
      </c>
      <c r="U224" s="323">
        <v>20</v>
      </c>
      <c r="V224" s="323">
        <v>6</v>
      </c>
      <c r="W224" s="323">
        <v>2279</v>
      </c>
      <c r="X224" s="329" t="s">
        <v>934</v>
      </c>
      <c r="Y224" s="330">
        <v>74</v>
      </c>
      <c r="Z224" s="330">
        <v>6</v>
      </c>
      <c r="AA224" s="330">
        <v>0</v>
      </c>
      <c r="AB224" s="330">
        <v>1</v>
      </c>
      <c r="AC224" s="330">
        <v>5</v>
      </c>
      <c r="AD224" s="330">
        <v>2</v>
      </c>
      <c r="AE224" s="330">
        <v>1</v>
      </c>
      <c r="AF224" s="330">
        <v>0</v>
      </c>
      <c r="AG224" s="328">
        <v>89</v>
      </c>
      <c r="AH224" s="329" t="s">
        <v>934</v>
      </c>
      <c r="AI224" s="184">
        <v>63</v>
      </c>
      <c r="AJ224" s="184">
        <v>127</v>
      </c>
      <c r="AK224" s="184">
        <v>102</v>
      </c>
      <c r="AL224" s="184">
        <v>57</v>
      </c>
      <c r="AM224" s="184">
        <v>43</v>
      </c>
      <c r="AN224" s="184">
        <v>15</v>
      </c>
      <c r="AO224" s="184">
        <v>13</v>
      </c>
      <c r="AP224" s="184">
        <v>10</v>
      </c>
      <c r="AQ224" s="336">
        <v>430</v>
      </c>
      <c r="AR224" s="323">
        <v>23</v>
      </c>
      <c r="AS224" s="323">
        <v>13881</v>
      </c>
      <c r="AT224" s="323">
        <v>5040</v>
      </c>
      <c r="AU224" s="323">
        <v>2745</v>
      </c>
      <c r="AV224" s="323">
        <v>995</v>
      </c>
      <c r="AW224" s="323">
        <v>432</v>
      </c>
      <c r="AX224" s="323">
        <v>156</v>
      </c>
      <c r="AY224" s="323">
        <v>74</v>
      </c>
      <c r="AZ224" s="323">
        <v>2</v>
      </c>
      <c r="BA224" s="323">
        <v>23348</v>
      </c>
      <c r="BB224" s="331">
        <v>2</v>
      </c>
      <c r="BC224" s="330">
        <v>233</v>
      </c>
      <c r="BD224" s="330">
        <v>141</v>
      </c>
      <c r="BE224" s="330">
        <v>94</v>
      </c>
      <c r="BF224" s="330">
        <v>66</v>
      </c>
      <c r="BG224" s="330">
        <v>31</v>
      </c>
      <c r="BH224" s="330">
        <v>6</v>
      </c>
      <c r="BI224" s="330">
        <v>4</v>
      </c>
      <c r="BJ224" s="330">
        <v>0</v>
      </c>
      <c r="BK224" s="328">
        <v>577</v>
      </c>
      <c r="BL224" s="323">
        <v>2</v>
      </c>
      <c r="BM224" s="323">
        <v>6</v>
      </c>
      <c r="BN224" s="323">
        <v>4</v>
      </c>
      <c r="BO224" s="323">
        <v>4</v>
      </c>
      <c r="BP224" s="323">
        <v>6</v>
      </c>
      <c r="BQ224" s="323">
        <v>5</v>
      </c>
      <c r="BR224" s="323">
        <v>9</v>
      </c>
      <c r="BS224" s="323">
        <v>16</v>
      </c>
      <c r="BT224" s="323">
        <v>1</v>
      </c>
      <c r="BU224" s="323">
        <v>53</v>
      </c>
      <c r="BV224" s="329" t="s">
        <v>934</v>
      </c>
      <c r="BW224" s="330">
        <v>84</v>
      </c>
      <c r="BX224" s="330">
        <v>43</v>
      </c>
      <c r="BY224" s="330">
        <v>40</v>
      </c>
      <c r="BZ224" s="330">
        <v>17</v>
      </c>
      <c r="CA224" s="330">
        <v>13</v>
      </c>
      <c r="CB224" s="330">
        <v>2</v>
      </c>
      <c r="CC224" s="330">
        <v>7</v>
      </c>
      <c r="CD224" s="330">
        <v>2</v>
      </c>
      <c r="CE224" s="328">
        <v>208</v>
      </c>
      <c r="CF224" s="322" t="s">
        <v>934</v>
      </c>
      <c r="CG224" s="323">
        <v>0</v>
      </c>
      <c r="CH224" s="323">
        <v>0</v>
      </c>
      <c r="CI224" s="323">
        <v>0</v>
      </c>
      <c r="CJ224" s="323">
        <v>0</v>
      </c>
      <c r="CK224" s="323">
        <v>0</v>
      </c>
      <c r="CL224" s="323">
        <v>0</v>
      </c>
      <c r="CM224" s="323">
        <v>0</v>
      </c>
      <c r="CN224" s="323">
        <v>0</v>
      </c>
      <c r="CO224" s="323">
        <v>0</v>
      </c>
      <c r="CP224" s="329" t="s">
        <v>934</v>
      </c>
      <c r="CQ224" s="330">
        <v>373</v>
      </c>
      <c r="CR224" s="330">
        <v>106</v>
      </c>
      <c r="CS224" s="330">
        <v>92</v>
      </c>
      <c r="CT224" s="330">
        <v>48</v>
      </c>
      <c r="CU224" s="330">
        <v>35</v>
      </c>
      <c r="CV224" s="330">
        <v>19</v>
      </c>
      <c r="CW224" s="330">
        <v>8</v>
      </c>
      <c r="CX224" s="330">
        <v>2</v>
      </c>
      <c r="CY224" s="328">
        <v>683</v>
      </c>
      <c r="CZ224" s="322" t="s">
        <v>934</v>
      </c>
      <c r="DA224" s="323">
        <v>0</v>
      </c>
      <c r="DB224" s="323">
        <v>0</v>
      </c>
      <c r="DC224" s="323">
        <v>0</v>
      </c>
      <c r="DD224" s="323">
        <v>0</v>
      </c>
      <c r="DE224" s="323">
        <v>0</v>
      </c>
      <c r="DF224" s="323">
        <v>0</v>
      </c>
      <c r="DG224" s="323">
        <v>0</v>
      </c>
      <c r="DH224" s="323">
        <v>0</v>
      </c>
      <c r="DI224" s="323">
        <v>0</v>
      </c>
      <c r="DJ224" s="337">
        <v>0</v>
      </c>
      <c r="DK224" s="644">
        <v>53233.6</v>
      </c>
      <c r="DL224" s="616">
        <v>32691</v>
      </c>
      <c r="DM224" s="616">
        <v>17166</v>
      </c>
      <c r="DN224" s="616">
        <v>11681</v>
      </c>
      <c r="DO224" s="616">
        <v>6242</v>
      </c>
      <c r="DP224" s="616">
        <v>3795</v>
      </c>
      <c r="DQ224" s="616">
        <v>1661</v>
      </c>
      <c r="DR224" s="616">
        <v>808</v>
      </c>
      <c r="DS224" s="617">
        <v>59</v>
      </c>
      <c r="DT224" s="607">
        <f t="shared" si="3"/>
        <v>74103</v>
      </c>
      <c r="DU224" s="342"/>
      <c r="EC224" s="646"/>
      <c r="EF224" s="125"/>
      <c r="EG224" s="124"/>
    </row>
    <row r="225" spans="1:137" ht="15">
      <c r="A225" s="22">
        <v>217</v>
      </c>
      <c r="B225" s="23" t="s">
        <v>575</v>
      </c>
      <c r="C225" s="24" t="s">
        <v>576</v>
      </c>
      <c r="D225" s="613"/>
      <c r="E225" s="628">
        <v>44730</v>
      </c>
      <c r="F225" s="628">
        <v>29475</v>
      </c>
      <c r="G225" s="628">
        <v>21034</v>
      </c>
      <c r="H225" s="628">
        <v>8449</v>
      </c>
      <c r="I225" s="628">
        <v>4366</v>
      </c>
      <c r="J225" s="628">
        <v>1635</v>
      </c>
      <c r="K225" s="628">
        <v>556</v>
      </c>
      <c r="L225" s="628">
        <v>59</v>
      </c>
      <c r="M225" s="627">
        <v>110304</v>
      </c>
      <c r="N225" s="322"/>
      <c r="O225" s="323">
        <v>2079</v>
      </c>
      <c r="P225" s="323">
        <v>1575</v>
      </c>
      <c r="Q225" s="323">
        <v>926</v>
      </c>
      <c r="R225" s="323">
        <v>321</v>
      </c>
      <c r="S225" s="323">
        <v>134</v>
      </c>
      <c r="T225" s="323">
        <v>48</v>
      </c>
      <c r="U225" s="323">
        <v>43</v>
      </c>
      <c r="V225" s="323">
        <v>22</v>
      </c>
      <c r="W225" s="323">
        <v>5148</v>
      </c>
      <c r="X225" s="329" t="s">
        <v>934</v>
      </c>
      <c r="Y225" s="330">
        <v>0</v>
      </c>
      <c r="Z225" s="330">
        <v>0</v>
      </c>
      <c r="AA225" s="330">
        <v>0</v>
      </c>
      <c r="AB225" s="330">
        <v>0</v>
      </c>
      <c r="AC225" s="330">
        <v>0</v>
      </c>
      <c r="AD225" s="330">
        <v>0</v>
      </c>
      <c r="AE225" s="330">
        <v>0</v>
      </c>
      <c r="AF225" s="330">
        <v>0</v>
      </c>
      <c r="AG225" s="328">
        <v>0</v>
      </c>
      <c r="AH225" s="329" t="s">
        <v>934</v>
      </c>
      <c r="AI225" s="184">
        <v>72</v>
      </c>
      <c r="AJ225" s="184">
        <v>148</v>
      </c>
      <c r="AK225" s="184">
        <v>120</v>
      </c>
      <c r="AL225" s="184">
        <v>81</v>
      </c>
      <c r="AM225" s="184">
        <v>55</v>
      </c>
      <c r="AN225" s="184">
        <v>23</v>
      </c>
      <c r="AO225" s="184">
        <v>29</v>
      </c>
      <c r="AP225" s="184">
        <v>11</v>
      </c>
      <c r="AQ225" s="336">
        <v>539</v>
      </c>
      <c r="AR225" s="323">
        <v>17</v>
      </c>
      <c r="AS225" s="323">
        <v>22446</v>
      </c>
      <c r="AT225" s="323">
        <v>9560</v>
      </c>
      <c r="AU225" s="323">
        <v>5380</v>
      </c>
      <c r="AV225" s="323">
        <v>1810</v>
      </c>
      <c r="AW225" s="323">
        <v>687</v>
      </c>
      <c r="AX225" s="323">
        <v>219</v>
      </c>
      <c r="AY225" s="323">
        <v>59</v>
      </c>
      <c r="AZ225" s="323">
        <v>0</v>
      </c>
      <c r="BA225" s="323">
        <v>40178</v>
      </c>
      <c r="BB225" s="331">
        <v>1</v>
      </c>
      <c r="BC225" s="330">
        <v>439</v>
      </c>
      <c r="BD225" s="330">
        <v>309</v>
      </c>
      <c r="BE225" s="330">
        <v>189</v>
      </c>
      <c r="BF225" s="330">
        <v>76</v>
      </c>
      <c r="BG225" s="330">
        <v>24</v>
      </c>
      <c r="BH225" s="330">
        <v>9</v>
      </c>
      <c r="BI225" s="330">
        <v>0</v>
      </c>
      <c r="BJ225" s="330">
        <v>0</v>
      </c>
      <c r="BK225" s="328">
        <v>1047</v>
      </c>
      <c r="BL225" s="323">
        <v>1</v>
      </c>
      <c r="BM225" s="323">
        <v>18</v>
      </c>
      <c r="BN225" s="323">
        <v>30</v>
      </c>
      <c r="BO225" s="323">
        <v>24</v>
      </c>
      <c r="BP225" s="323">
        <v>27</v>
      </c>
      <c r="BQ225" s="323">
        <v>19</v>
      </c>
      <c r="BR225" s="323">
        <v>29</v>
      </c>
      <c r="BS225" s="323">
        <v>39</v>
      </c>
      <c r="BT225" s="323">
        <v>16</v>
      </c>
      <c r="BU225" s="323">
        <v>203</v>
      </c>
      <c r="BV225" s="329" t="s">
        <v>934</v>
      </c>
      <c r="BW225" s="330">
        <v>742</v>
      </c>
      <c r="BX225" s="330">
        <v>331</v>
      </c>
      <c r="BY225" s="330">
        <v>170</v>
      </c>
      <c r="BZ225" s="330">
        <v>84</v>
      </c>
      <c r="CA225" s="330">
        <v>66</v>
      </c>
      <c r="CB225" s="330">
        <v>26</v>
      </c>
      <c r="CC225" s="330">
        <v>10</v>
      </c>
      <c r="CD225" s="330">
        <v>0</v>
      </c>
      <c r="CE225" s="328">
        <v>1429</v>
      </c>
      <c r="CF225" s="322" t="s">
        <v>934</v>
      </c>
      <c r="CG225" s="323">
        <v>0</v>
      </c>
      <c r="CH225" s="323">
        <v>0</v>
      </c>
      <c r="CI225" s="323">
        <v>0</v>
      </c>
      <c r="CJ225" s="323">
        <v>0</v>
      </c>
      <c r="CK225" s="323">
        <v>0</v>
      </c>
      <c r="CL225" s="323">
        <v>0</v>
      </c>
      <c r="CM225" s="323">
        <v>0</v>
      </c>
      <c r="CN225" s="323">
        <v>0</v>
      </c>
      <c r="CO225" s="323">
        <v>0</v>
      </c>
      <c r="CP225" s="329" t="s">
        <v>934</v>
      </c>
      <c r="CQ225" s="330">
        <v>569</v>
      </c>
      <c r="CR225" s="330">
        <v>227</v>
      </c>
      <c r="CS225" s="330">
        <v>117</v>
      </c>
      <c r="CT225" s="330">
        <v>55</v>
      </c>
      <c r="CU225" s="330">
        <v>23</v>
      </c>
      <c r="CV225" s="330">
        <v>16</v>
      </c>
      <c r="CW225" s="330">
        <v>5</v>
      </c>
      <c r="CX225" s="330">
        <v>0</v>
      </c>
      <c r="CY225" s="328">
        <v>1012</v>
      </c>
      <c r="CZ225" s="322" t="s">
        <v>934</v>
      </c>
      <c r="DA225" s="323">
        <v>0</v>
      </c>
      <c r="DB225" s="323">
        <v>0</v>
      </c>
      <c r="DC225" s="323">
        <v>0</v>
      </c>
      <c r="DD225" s="323">
        <v>0</v>
      </c>
      <c r="DE225" s="323">
        <v>0</v>
      </c>
      <c r="DF225" s="323">
        <v>0</v>
      </c>
      <c r="DG225" s="323">
        <v>0</v>
      </c>
      <c r="DH225" s="323">
        <v>0</v>
      </c>
      <c r="DI225" s="323">
        <v>0</v>
      </c>
      <c r="DJ225" s="337">
        <v>845</v>
      </c>
      <c r="DK225" s="644">
        <v>76838.7</v>
      </c>
      <c r="DL225" s="614">
        <v>45391</v>
      </c>
      <c r="DM225" s="614">
        <v>29759</v>
      </c>
      <c r="DN225" s="614">
        <v>21235</v>
      </c>
      <c r="DO225" s="614">
        <v>8568</v>
      </c>
      <c r="DP225" s="614">
        <v>4415</v>
      </c>
      <c r="DQ225" s="614">
        <v>1682</v>
      </c>
      <c r="DR225" s="614">
        <v>560</v>
      </c>
      <c r="DS225" s="615">
        <v>60</v>
      </c>
      <c r="DT225" s="607">
        <f t="shared" si="3"/>
        <v>111670</v>
      </c>
      <c r="DU225" s="342"/>
      <c r="EC225" s="646"/>
      <c r="EF225" s="126"/>
      <c r="EG225" s="124"/>
    </row>
    <row r="226" spans="1:137" ht="15">
      <c r="A226" s="22">
        <v>218</v>
      </c>
      <c r="B226" s="23" t="s">
        <v>577</v>
      </c>
      <c r="C226" s="24" t="s">
        <v>578</v>
      </c>
      <c r="D226" s="613"/>
      <c r="E226" s="628">
        <v>4215</v>
      </c>
      <c r="F226" s="628">
        <v>11248</v>
      </c>
      <c r="G226" s="628">
        <v>22003</v>
      </c>
      <c r="H226" s="628">
        <v>11601</v>
      </c>
      <c r="I226" s="628">
        <v>7730</v>
      </c>
      <c r="J226" s="628">
        <v>3790</v>
      </c>
      <c r="K226" s="628">
        <v>2929</v>
      </c>
      <c r="L226" s="628">
        <v>780</v>
      </c>
      <c r="M226" s="627">
        <v>64296</v>
      </c>
      <c r="N226" s="322"/>
      <c r="O226" s="323">
        <v>219</v>
      </c>
      <c r="P226" s="323">
        <v>380</v>
      </c>
      <c r="Q226" s="323">
        <v>612</v>
      </c>
      <c r="R226" s="323">
        <v>282</v>
      </c>
      <c r="S226" s="323">
        <v>188</v>
      </c>
      <c r="T226" s="323">
        <v>95</v>
      </c>
      <c r="U226" s="323">
        <v>88</v>
      </c>
      <c r="V226" s="323">
        <v>29</v>
      </c>
      <c r="W226" s="323">
        <v>1893</v>
      </c>
      <c r="X226" s="329" t="s">
        <v>934</v>
      </c>
      <c r="Y226" s="330">
        <v>4</v>
      </c>
      <c r="Z226" s="330">
        <v>3</v>
      </c>
      <c r="AA226" s="330">
        <v>1</v>
      </c>
      <c r="AB226" s="330">
        <v>2</v>
      </c>
      <c r="AC226" s="330">
        <v>4</v>
      </c>
      <c r="AD226" s="330">
        <v>1</v>
      </c>
      <c r="AE226" s="330">
        <v>2</v>
      </c>
      <c r="AF226" s="330">
        <v>0</v>
      </c>
      <c r="AG226" s="328">
        <v>17</v>
      </c>
      <c r="AH226" s="329" t="s">
        <v>934</v>
      </c>
      <c r="AI226" s="184">
        <v>10</v>
      </c>
      <c r="AJ226" s="184">
        <v>44</v>
      </c>
      <c r="AK226" s="184">
        <v>145</v>
      </c>
      <c r="AL226" s="184">
        <v>70</v>
      </c>
      <c r="AM226" s="184">
        <v>46</v>
      </c>
      <c r="AN226" s="184">
        <v>36</v>
      </c>
      <c r="AO226" s="184">
        <v>28</v>
      </c>
      <c r="AP226" s="184">
        <v>21</v>
      </c>
      <c r="AQ226" s="336">
        <v>400</v>
      </c>
      <c r="AR226" s="323">
        <v>5</v>
      </c>
      <c r="AS226" s="323">
        <v>2717</v>
      </c>
      <c r="AT226" s="323">
        <v>5310</v>
      </c>
      <c r="AU226" s="323">
        <v>6736</v>
      </c>
      <c r="AV226" s="323">
        <v>3011</v>
      </c>
      <c r="AW226" s="323">
        <v>1741</v>
      </c>
      <c r="AX226" s="323">
        <v>740</v>
      </c>
      <c r="AY226" s="323">
        <v>490</v>
      </c>
      <c r="AZ226" s="323">
        <v>73</v>
      </c>
      <c r="BA226" s="323">
        <v>20823</v>
      </c>
      <c r="BB226" s="331">
        <v>1</v>
      </c>
      <c r="BC226" s="330">
        <v>21</v>
      </c>
      <c r="BD226" s="330">
        <v>108</v>
      </c>
      <c r="BE226" s="330">
        <v>179</v>
      </c>
      <c r="BF226" s="330">
        <v>81</v>
      </c>
      <c r="BG226" s="330">
        <v>61</v>
      </c>
      <c r="BH226" s="330">
        <v>17</v>
      </c>
      <c r="BI226" s="330">
        <v>9</v>
      </c>
      <c r="BJ226" s="330">
        <v>0</v>
      </c>
      <c r="BK226" s="328">
        <v>477</v>
      </c>
      <c r="BL226" s="323">
        <v>0</v>
      </c>
      <c r="BM226" s="323">
        <v>3</v>
      </c>
      <c r="BN226" s="323">
        <v>3</v>
      </c>
      <c r="BO226" s="323">
        <v>4</v>
      </c>
      <c r="BP226" s="323">
        <v>6</v>
      </c>
      <c r="BQ226" s="323">
        <v>6</v>
      </c>
      <c r="BR226" s="323">
        <v>14</v>
      </c>
      <c r="BS226" s="323">
        <v>23</v>
      </c>
      <c r="BT226" s="323">
        <v>5</v>
      </c>
      <c r="BU226" s="323">
        <v>64</v>
      </c>
      <c r="BV226" s="329" t="s">
        <v>934</v>
      </c>
      <c r="BW226" s="330">
        <v>52</v>
      </c>
      <c r="BX226" s="330">
        <v>155</v>
      </c>
      <c r="BY226" s="330">
        <v>270</v>
      </c>
      <c r="BZ226" s="330">
        <v>251</v>
      </c>
      <c r="CA226" s="330">
        <v>277</v>
      </c>
      <c r="CB226" s="330">
        <v>246</v>
      </c>
      <c r="CC226" s="330">
        <v>324</v>
      </c>
      <c r="CD226" s="330">
        <v>105</v>
      </c>
      <c r="CE226" s="328">
        <v>1680</v>
      </c>
      <c r="CF226" s="322" t="s">
        <v>934</v>
      </c>
      <c r="CG226" s="323">
        <v>0</v>
      </c>
      <c r="CH226" s="323">
        <v>0</v>
      </c>
      <c r="CI226" s="323">
        <v>0</v>
      </c>
      <c r="CJ226" s="323">
        <v>0</v>
      </c>
      <c r="CK226" s="323">
        <v>0</v>
      </c>
      <c r="CL226" s="323">
        <v>0</v>
      </c>
      <c r="CM226" s="323">
        <v>0</v>
      </c>
      <c r="CN226" s="323">
        <v>0</v>
      </c>
      <c r="CO226" s="323">
        <v>0</v>
      </c>
      <c r="CP226" s="329" t="s">
        <v>934</v>
      </c>
      <c r="CQ226" s="330">
        <v>0</v>
      </c>
      <c r="CR226" s="330">
        <v>0</v>
      </c>
      <c r="CS226" s="330">
        <v>0</v>
      </c>
      <c r="CT226" s="330">
        <v>0</v>
      </c>
      <c r="CU226" s="330">
        <v>0</v>
      </c>
      <c r="CV226" s="330">
        <v>0</v>
      </c>
      <c r="CW226" s="330">
        <v>0</v>
      </c>
      <c r="CX226" s="330">
        <v>0</v>
      </c>
      <c r="CY226" s="328">
        <v>0</v>
      </c>
      <c r="CZ226" s="322" t="s">
        <v>934</v>
      </c>
      <c r="DA226" s="323">
        <v>117</v>
      </c>
      <c r="DB226" s="323">
        <v>134</v>
      </c>
      <c r="DC226" s="323">
        <v>155</v>
      </c>
      <c r="DD226" s="323">
        <v>124</v>
      </c>
      <c r="DE226" s="323">
        <v>78</v>
      </c>
      <c r="DF226" s="323">
        <v>41</v>
      </c>
      <c r="DG226" s="323">
        <v>64</v>
      </c>
      <c r="DH226" s="323">
        <v>29</v>
      </c>
      <c r="DI226" s="323">
        <v>742</v>
      </c>
      <c r="DJ226" s="337">
        <v>0</v>
      </c>
      <c r="DK226" s="644">
        <v>56262.9</v>
      </c>
      <c r="DL226" s="614">
        <v>4298</v>
      </c>
      <c r="DM226" s="614">
        <v>11460</v>
      </c>
      <c r="DN226" s="614">
        <v>22200</v>
      </c>
      <c r="DO226" s="614">
        <v>11687</v>
      </c>
      <c r="DP226" s="614">
        <v>7815</v>
      </c>
      <c r="DQ226" s="614">
        <v>3789</v>
      </c>
      <c r="DR226" s="614">
        <v>2938</v>
      </c>
      <c r="DS226" s="615">
        <v>793</v>
      </c>
      <c r="DT226" s="607">
        <f t="shared" si="3"/>
        <v>64980</v>
      </c>
      <c r="DU226" s="342"/>
      <c r="EC226" s="646"/>
      <c r="EF226" s="126"/>
      <c r="EG226" s="124"/>
    </row>
    <row r="227" spans="1:137" ht="15">
      <c r="A227" s="22">
        <v>219</v>
      </c>
      <c r="B227" s="23" t="s">
        <v>579</v>
      </c>
      <c r="C227" s="24" t="s">
        <v>580</v>
      </c>
      <c r="D227" s="613"/>
      <c r="E227" s="628">
        <v>23547</v>
      </c>
      <c r="F227" s="628">
        <v>29013</v>
      </c>
      <c r="G227" s="628">
        <v>20827</v>
      </c>
      <c r="H227" s="628">
        <v>5426</v>
      </c>
      <c r="I227" s="628">
        <v>3481</v>
      </c>
      <c r="J227" s="628">
        <v>1627</v>
      </c>
      <c r="K227" s="628">
        <v>691</v>
      </c>
      <c r="L227" s="628">
        <v>58</v>
      </c>
      <c r="M227" s="627">
        <v>84670</v>
      </c>
      <c r="N227" s="322"/>
      <c r="O227" s="323">
        <v>1553</v>
      </c>
      <c r="P227" s="323">
        <v>2072</v>
      </c>
      <c r="Q227" s="323">
        <v>970</v>
      </c>
      <c r="R227" s="323">
        <v>304</v>
      </c>
      <c r="S227" s="323">
        <v>223</v>
      </c>
      <c r="T227" s="323">
        <v>48</v>
      </c>
      <c r="U227" s="323">
        <v>50</v>
      </c>
      <c r="V227" s="323">
        <v>17</v>
      </c>
      <c r="W227" s="323">
        <v>5237</v>
      </c>
      <c r="X227" s="329" t="s">
        <v>934</v>
      </c>
      <c r="Y227" s="330">
        <v>0</v>
      </c>
      <c r="Z227" s="330">
        <v>0</v>
      </c>
      <c r="AA227" s="330">
        <v>0</v>
      </c>
      <c r="AB227" s="330">
        <v>0</v>
      </c>
      <c r="AC227" s="330">
        <v>0</v>
      </c>
      <c r="AD227" s="330">
        <v>0</v>
      </c>
      <c r="AE227" s="330">
        <v>0</v>
      </c>
      <c r="AF227" s="330">
        <v>0</v>
      </c>
      <c r="AG227" s="328">
        <v>0</v>
      </c>
      <c r="AH227" s="329" t="s">
        <v>934</v>
      </c>
      <c r="AI227" s="184">
        <v>23</v>
      </c>
      <c r="AJ227" s="184">
        <v>138</v>
      </c>
      <c r="AK227" s="184">
        <v>148</v>
      </c>
      <c r="AL227" s="184">
        <v>48</v>
      </c>
      <c r="AM227" s="184">
        <v>31</v>
      </c>
      <c r="AN227" s="184">
        <v>19</v>
      </c>
      <c r="AO227" s="184">
        <v>16</v>
      </c>
      <c r="AP227" s="184">
        <v>15</v>
      </c>
      <c r="AQ227" s="336">
        <v>438</v>
      </c>
      <c r="AR227" s="323">
        <v>9</v>
      </c>
      <c r="AS227" s="323">
        <v>12595</v>
      </c>
      <c r="AT227" s="323">
        <v>10211</v>
      </c>
      <c r="AU227" s="323">
        <v>5507</v>
      </c>
      <c r="AV227" s="323">
        <v>1398</v>
      </c>
      <c r="AW227" s="323">
        <v>759</v>
      </c>
      <c r="AX227" s="323">
        <v>303</v>
      </c>
      <c r="AY227" s="323">
        <v>91</v>
      </c>
      <c r="AZ227" s="323">
        <v>1</v>
      </c>
      <c r="BA227" s="323">
        <v>30874</v>
      </c>
      <c r="BB227" s="331">
        <v>1</v>
      </c>
      <c r="BC227" s="330">
        <v>185</v>
      </c>
      <c r="BD227" s="330">
        <v>318</v>
      </c>
      <c r="BE227" s="330">
        <v>184</v>
      </c>
      <c r="BF227" s="330">
        <v>58</v>
      </c>
      <c r="BG227" s="330">
        <v>25</v>
      </c>
      <c r="BH227" s="330">
        <v>11</v>
      </c>
      <c r="BI227" s="330">
        <v>10</v>
      </c>
      <c r="BJ227" s="330">
        <v>1</v>
      </c>
      <c r="BK227" s="328">
        <v>793</v>
      </c>
      <c r="BL227" s="323">
        <v>0</v>
      </c>
      <c r="BM227" s="323">
        <v>43</v>
      </c>
      <c r="BN227" s="323">
        <v>15</v>
      </c>
      <c r="BO227" s="323">
        <v>28</v>
      </c>
      <c r="BP227" s="323">
        <v>9</v>
      </c>
      <c r="BQ227" s="323">
        <v>8</v>
      </c>
      <c r="BR227" s="323">
        <v>15</v>
      </c>
      <c r="BS227" s="323">
        <v>23</v>
      </c>
      <c r="BT227" s="323">
        <v>8</v>
      </c>
      <c r="BU227" s="323">
        <v>149</v>
      </c>
      <c r="BV227" s="329" t="s">
        <v>934</v>
      </c>
      <c r="BW227" s="330">
        <v>201</v>
      </c>
      <c r="BX227" s="330">
        <v>225</v>
      </c>
      <c r="BY227" s="330">
        <v>114</v>
      </c>
      <c r="BZ227" s="330">
        <v>67</v>
      </c>
      <c r="CA227" s="330">
        <v>104</v>
      </c>
      <c r="CB227" s="330">
        <v>109</v>
      </c>
      <c r="CC227" s="330">
        <v>44</v>
      </c>
      <c r="CD227" s="330">
        <v>1</v>
      </c>
      <c r="CE227" s="328">
        <v>865</v>
      </c>
      <c r="CF227" s="322" t="s">
        <v>934</v>
      </c>
      <c r="CG227" s="323">
        <v>0</v>
      </c>
      <c r="CH227" s="323">
        <v>0</v>
      </c>
      <c r="CI227" s="323">
        <v>0</v>
      </c>
      <c r="CJ227" s="323">
        <v>0</v>
      </c>
      <c r="CK227" s="323">
        <v>0</v>
      </c>
      <c r="CL227" s="323">
        <v>0</v>
      </c>
      <c r="CM227" s="323">
        <v>0</v>
      </c>
      <c r="CN227" s="323">
        <v>0</v>
      </c>
      <c r="CO227" s="323">
        <v>0</v>
      </c>
      <c r="CP227" s="329" t="s">
        <v>934</v>
      </c>
      <c r="CQ227" s="330">
        <v>334</v>
      </c>
      <c r="CR227" s="330">
        <v>265</v>
      </c>
      <c r="CS227" s="330">
        <v>130</v>
      </c>
      <c r="CT227" s="330">
        <v>43</v>
      </c>
      <c r="CU227" s="330">
        <v>42</v>
      </c>
      <c r="CV227" s="330">
        <v>19</v>
      </c>
      <c r="CW227" s="330">
        <v>11</v>
      </c>
      <c r="CX227" s="330">
        <v>1</v>
      </c>
      <c r="CY227" s="328">
        <v>845</v>
      </c>
      <c r="CZ227" s="322" t="s">
        <v>934</v>
      </c>
      <c r="DA227" s="323">
        <v>0</v>
      </c>
      <c r="DB227" s="323">
        <v>0</v>
      </c>
      <c r="DC227" s="323">
        <v>0</v>
      </c>
      <c r="DD227" s="323">
        <v>0</v>
      </c>
      <c r="DE227" s="323">
        <v>0</v>
      </c>
      <c r="DF227" s="323">
        <v>0</v>
      </c>
      <c r="DG227" s="323">
        <v>0</v>
      </c>
      <c r="DH227" s="323">
        <v>0</v>
      </c>
      <c r="DI227" s="323">
        <v>0</v>
      </c>
      <c r="DJ227" s="337">
        <v>580</v>
      </c>
      <c r="DK227" s="644">
        <v>59637.4</v>
      </c>
      <c r="DL227" s="614">
        <v>23849</v>
      </c>
      <c r="DM227" s="614">
        <v>29324</v>
      </c>
      <c r="DN227" s="614">
        <v>20918</v>
      </c>
      <c r="DO227" s="614">
        <v>5513</v>
      </c>
      <c r="DP227" s="614">
        <v>3545</v>
      </c>
      <c r="DQ227" s="614">
        <v>1630</v>
      </c>
      <c r="DR227" s="614">
        <v>681</v>
      </c>
      <c r="DS227" s="615">
        <v>57</v>
      </c>
      <c r="DT227" s="607">
        <f t="shared" si="3"/>
        <v>85517</v>
      </c>
      <c r="DU227" s="342"/>
      <c r="EC227" s="646"/>
      <c r="EF227" s="123"/>
      <c r="EG227" s="124"/>
    </row>
    <row r="228" spans="1:137" ht="15">
      <c r="A228" s="22">
        <v>220</v>
      </c>
      <c r="B228" s="23" t="s">
        <v>581</v>
      </c>
      <c r="C228" s="24" t="s">
        <v>582</v>
      </c>
      <c r="D228" s="613"/>
      <c r="E228" s="628">
        <v>26941</v>
      </c>
      <c r="F228" s="628">
        <v>11519</v>
      </c>
      <c r="G228" s="628">
        <v>9443</v>
      </c>
      <c r="H228" s="628">
        <v>6259</v>
      </c>
      <c r="I228" s="628">
        <v>2484</v>
      </c>
      <c r="J228" s="628">
        <v>1205</v>
      </c>
      <c r="K228" s="628">
        <v>859</v>
      </c>
      <c r="L228" s="628">
        <v>47</v>
      </c>
      <c r="M228" s="627">
        <v>58757</v>
      </c>
      <c r="N228" s="322"/>
      <c r="O228" s="323">
        <v>2037</v>
      </c>
      <c r="P228" s="323">
        <v>715</v>
      </c>
      <c r="Q228" s="323">
        <v>538</v>
      </c>
      <c r="R228" s="323">
        <v>191</v>
      </c>
      <c r="S228" s="323">
        <v>44</v>
      </c>
      <c r="T228" s="323">
        <v>21</v>
      </c>
      <c r="U228" s="323">
        <v>13</v>
      </c>
      <c r="V228" s="323">
        <v>2</v>
      </c>
      <c r="W228" s="323">
        <v>3561</v>
      </c>
      <c r="X228" s="329" t="s">
        <v>934</v>
      </c>
      <c r="Y228" s="330">
        <v>17</v>
      </c>
      <c r="Z228" s="330">
        <v>6</v>
      </c>
      <c r="AA228" s="330">
        <v>4</v>
      </c>
      <c r="AB228" s="330">
        <v>3</v>
      </c>
      <c r="AC228" s="330">
        <v>1</v>
      </c>
      <c r="AD228" s="330">
        <v>0</v>
      </c>
      <c r="AE228" s="330">
        <v>2</v>
      </c>
      <c r="AF228" s="330">
        <v>0</v>
      </c>
      <c r="AG228" s="328">
        <v>33</v>
      </c>
      <c r="AH228" s="329" t="s">
        <v>934</v>
      </c>
      <c r="AI228" s="184">
        <v>50</v>
      </c>
      <c r="AJ228" s="184">
        <v>54</v>
      </c>
      <c r="AK228" s="184">
        <v>54</v>
      </c>
      <c r="AL228" s="184">
        <v>50</v>
      </c>
      <c r="AM228" s="184">
        <v>20</v>
      </c>
      <c r="AN228" s="184">
        <v>15</v>
      </c>
      <c r="AO228" s="184">
        <v>15</v>
      </c>
      <c r="AP228" s="184">
        <v>17</v>
      </c>
      <c r="AQ228" s="336">
        <v>275</v>
      </c>
      <c r="AR228" s="323">
        <v>21</v>
      </c>
      <c r="AS228" s="323">
        <v>12424</v>
      </c>
      <c r="AT228" s="323">
        <v>3590</v>
      </c>
      <c r="AU228" s="323">
        <v>2565</v>
      </c>
      <c r="AV228" s="323">
        <v>1244</v>
      </c>
      <c r="AW228" s="323">
        <v>366</v>
      </c>
      <c r="AX228" s="323">
        <v>159</v>
      </c>
      <c r="AY228" s="323">
        <v>72</v>
      </c>
      <c r="AZ228" s="323">
        <v>1</v>
      </c>
      <c r="BA228" s="323">
        <v>20442</v>
      </c>
      <c r="BB228" s="331">
        <v>2</v>
      </c>
      <c r="BC228" s="330">
        <v>261</v>
      </c>
      <c r="BD228" s="330">
        <v>141</v>
      </c>
      <c r="BE228" s="330">
        <v>100</v>
      </c>
      <c r="BF228" s="330">
        <v>53</v>
      </c>
      <c r="BG228" s="330">
        <v>19</v>
      </c>
      <c r="BH228" s="330">
        <v>6</v>
      </c>
      <c r="BI228" s="330">
        <v>4</v>
      </c>
      <c r="BJ228" s="330">
        <v>0</v>
      </c>
      <c r="BK228" s="328">
        <v>586</v>
      </c>
      <c r="BL228" s="323">
        <v>1</v>
      </c>
      <c r="BM228" s="323">
        <v>6</v>
      </c>
      <c r="BN228" s="323">
        <v>8</v>
      </c>
      <c r="BO228" s="323">
        <v>4</v>
      </c>
      <c r="BP228" s="323">
        <v>11</v>
      </c>
      <c r="BQ228" s="323">
        <v>6</v>
      </c>
      <c r="BR228" s="323">
        <v>14</v>
      </c>
      <c r="BS228" s="323">
        <v>29</v>
      </c>
      <c r="BT228" s="323">
        <v>7</v>
      </c>
      <c r="BU228" s="323">
        <v>86</v>
      </c>
      <c r="BV228" s="329" t="s">
        <v>934</v>
      </c>
      <c r="BW228" s="330">
        <v>227</v>
      </c>
      <c r="BX228" s="330">
        <v>68</v>
      </c>
      <c r="BY228" s="330">
        <v>31</v>
      </c>
      <c r="BZ228" s="330">
        <v>23</v>
      </c>
      <c r="CA228" s="330">
        <v>10</v>
      </c>
      <c r="CB228" s="330">
        <v>1</v>
      </c>
      <c r="CC228" s="330">
        <v>6</v>
      </c>
      <c r="CD228" s="330">
        <v>1</v>
      </c>
      <c r="CE228" s="328">
        <v>367</v>
      </c>
      <c r="CF228" s="322" t="s">
        <v>934</v>
      </c>
      <c r="CG228" s="323">
        <v>671</v>
      </c>
      <c r="CH228" s="323">
        <v>166</v>
      </c>
      <c r="CI228" s="323">
        <v>109</v>
      </c>
      <c r="CJ228" s="323">
        <v>44</v>
      </c>
      <c r="CK228" s="323">
        <v>25</v>
      </c>
      <c r="CL228" s="323">
        <v>11</v>
      </c>
      <c r="CM228" s="323">
        <v>8</v>
      </c>
      <c r="CN228" s="323">
        <v>0</v>
      </c>
      <c r="CO228" s="323">
        <v>1034</v>
      </c>
      <c r="CP228" s="329" t="s">
        <v>934</v>
      </c>
      <c r="CQ228" s="330">
        <v>0</v>
      </c>
      <c r="CR228" s="330">
        <v>0</v>
      </c>
      <c r="CS228" s="330">
        <v>0</v>
      </c>
      <c r="CT228" s="330">
        <v>0</v>
      </c>
      <c r="CU228" s="330">
        <v>0</v>
      </c>
      <c r="CV228" s="330">
        <v>0</v>
      </c>
      <c r="CW228" s="330">
        <v>0</v>
      </c>
      <c r="CX228" s="330">
        <v>0</v>
      </c>
      <c r="CY228" s="328">
        <v>0</v>
      </c>
      <c r="CZ228" s="322" t="s">
        <v>934</v>
      </c>
      <c r="DA228" s="323">
        <v>0</v>
      </c>
      <c r="DB228" s="323">
        <v>0</v>
      </c>
      <c r="DC228" s="323">
        <v>0</v>
      </c>
      <c r="DD228" s="323">
        <v>0</v>
      </c>
      <c r="DE228" s="323">
        <v>0</v>
      </c>
      <c r="DF228" s="323">
        <v>0</v>
      </c>
      <c r="DG228" s="323">
        <v>0</v>
      </c>
      <c r="DH228" s="323">
        <v>0</v>
      </c>
      <c r="DI228" s="323">
        <v>0</v>
      </c>
      <c r="DJ228" s="337">
        <v>44.3</v>
      </c>
      <c r="DK228" s="644">
        <v>40604.1</v>
      </c>
      <c r="DL228" s="614">
        <v>27089</v>
      </c>
      <c r="DM228" s="614">
        <v>11646</v>
      </c>
      <c r="DN228" s="614">
        <v>9467</v>
      </c>
      <c r="DO228" s="614">
        <v>6281</v>
      </c>
      <c r="DP228" s="614">
        <v>2498</v>
      </c>
      <c r="DQ228" s="614">
        <v>1215</v>
      </c>
      <c r="DR228" s="614">
        <v>881</v>
      </c>
      <c r="DS228" s="615">
        <v>49</v>
      </c>
      <c r="DT228" s="607">
        <f t="shared" si="3"/>
        <v>59126</v>
      </c>
      <c r="DU228" s="342"/>
      <c r="EC228" s="646"/>
      <c r="EF228" s="126"/>
      <c r="EG228" s="124"/>
    </row>
    <row r="229" spans="1:137" ht="15">
      <c r="A229" s="22">
        <v>221</v>
      </c>
      <c r="B229" s="23" t="s">
        <v>583</v>
      </c>
      <c r="C229" s="24" t="s">
        <v>584</v>
      </c>
      <c r="D229" s="613"/>
      <c r="E229" s="628">
        <v>1251</v>
      </c>
      <c r="F229" s="628">
        <v>2636</v>
      </c>
      <c r="G229" s="628">
        <v>6715</v>
      </c>
      <c r="H229" s="628">
        <v>4723</v>
      </c>
      <c r="I229" s="628">
        <v>3014</v>
      </c>
      <c r="J229" s="628">
        <v>1725</v>
      </c>
      <c r="K229" s="628">
        <v>1012</v>
      </c>
      <c r="L229" s="628">
        <v>93</v>
      </c>
      <c r="M229" s="627">
        <v>21169</v>
      </c>
      <c r="N229" s="322"/>
      <c r="O229" s="323">
        <v>85</v>
      </c>
      <c r="P229" s="323">
        <v>187</v>
      </c>
      <c r="Q229" s="323">
        <v>224</v>
      </c>
      <c r="R229" s="323">
        <v>151</v>
      </c>
      <c r="S229" s="323">
        <v>84</v>
      </c>
      <c r="T229" s="323">
        <v>35</v>
      </c>
      <c r="U229" s="323">
        <v>24</v>
      </c>
      <c r="V229" s="323">
        <v>12</v>
      </c>
      <c r="W229" s="323">
        <v>802</v>
      </c>
      <c r="X229" s="329" t="s">
        <v>934</v>
      </c>
      <c r="Y229" s="330">
        <v>0</v>
      </c>
      <c r="Z229" s="330">
        <v>0</v>
      </c>
      <c r="AA229" s="330">
        <v>2</v>
      </c>
      <c r="AB229" s="330">
        <v>2</v>
      </c>
      <c r="AC229" s="330">
        <v>0</v>
      </c>
      <c r="AD229" s="330">
        <v>2</v>
      </c>
      <c r="AE229" s="330">
        <v>0</v>
      </c>
      <c r="AF229" s="330">
        <v>0</v>
      </c>
      <c r="AG229" s="328">
        <v>6</v>
      </c>
      <c r="AH229" s="329" t="s">
        <v>934</v>
      </c>
      <c r="AI229" s="184">
        <v>1</v>
      </c>
      <c r="AJ229" s="184">
        <v>8</v>
      </c>
      <c r="AK229" s="184">
        <v>39</v>
      </c>
      <c r="AL229" s="184">
        <v>37</v>
      </c>
      <c r="AM229" s="184">
        <v>32</v>
      </c>
      <c r="AN229" s="184">
        <v>17</v>
      </c>
      <c r="AO229" s="184">
        <v>16</v>
      </c>
      <c r="AP229" s="184">
        <v>9</v>
      </c>
      <c r="AQ229" s="336">
        <v>159</v>
      </c>
      <c r="AR229" s="323">
        <v>1</v>
      </c>
      <c r="AS229" s="323">
        <v>668</v>
      </c>
      <c r="AT229" s="323">
        <v>1116</v>
      </c>
      <c r="AU229" s="323">
        <v>2042</v>
      </c>
      <c r="AV229" s="323">
        <v>1182</v>
      </c>
      <c r="AW229" s="323">
        <v>606</v>
      </c>
      <c r="AX229" s="323">
        <v>265</v>
      </c>
      <c r="AY229" s="323">
        <v>131</v>
      </c>
      <c r="AZ229" s="323">
        <v>6</v>
      </c>
      <c r="BA229" s="323">
        <v>6017</v>
      </c>
      <c r="BB229" s="331">
        <v>0</v>
      </c>
      <c r="BC229" s="330">
        <v>5</v>
      </c>
      <c r="BD229" s="330">
        <v>18</v>
      </c>
      <c r="BE229" s="330">
        <v>45</v>
      </c>
      <c r="BF229" s="330">
        <v>33</v>
      </c>
      <c r="BG229" s="330">
        <v>24</v>
      </c>
      <c r="BH229" s="330">
        <v>9</v>
      </c>
      <c r="BI229" s="330">
        <v>7</v>
      </c>
      <c r="BJ229" s="330">
        <v>1</v>
      </c>
      <c r="BK229" s="328">
        <v>142</v>
      </c>
      <c r="BL229" s="323">
        <v>0</v>
      </c>
      <c r="BM229" s="323">
        <v>4</v>
      </c>
      <c r="BN229" s="323">
        <v>5</v>
      </c>
      <c r="BO229" s="323">
        <v>11</v>
      </c>
      <c r="BP229" s="323">
        <v>13</v>
      </c>
      <c r="BQ229" s="323">
        <v>5</v>
      </c>
      <c r="BR229" s="323">
        <v>5</v>
      </c>
      <c r="BS229" s="323">
        <v>9</v>
      </c>
      <c r="BT229" s="323">
        <v>0</v>
      </c>
      <c r="BU229" s="323">
        <v>52</v>
      </c>
      <c r="BV229" s="329" t="s">
        <v>934</v>
      </c>
      <c r="BW229" s="330">
        <v>68</v>
      </c>
      <c r="BX229" s="330">
        <v>167</v>
      </c>
      <c r="BY229" s="330">
        <v>396</v>
      </c>
      <c r="BZ229" s="330">
        <v>342</v>
      </c>
      <c r="CA229" s="330">
        <v>236</v>
      </c>
      <c r="CB229" s="330">
        <v>144</v>
      </c>
      <c r="CC229" s="330">
        <v>90</v>
      </c>
      <c r="CD229" s="330">
        <v>8</v>
      </c>
      <c r="CE229" s="328">
        <v>1451</v>
      </c>
      <c r="CF229" s="322" t="s">
        <v>934</v>
      </c>
      <c r="CG229" s="323">
        <v>0</v>
      </c>
      <c r="CH229" s="323">
        <v>0</v>
      </c>
      <c r="CI229" s="323">
        <v>0</v>
      </c>
      <c r="CJ229" s="323">
        <v>0</v>
      </c>
      <c r="CK229" s="323">
        <v>0</v>
      </c>
      <c r="CL229" s="323">
        <v>0</v>
      </c>
      <c r="CM229" s="323">
        <v>0</v>
      </c>
      <c r="CN229" s="323">
        <v>0</v>
      </c>
      <c r="CO229" s="323">
        <v>0</v>
      </c>
      <c r="CP229" s="329" t="s">
        <v>934</v>
      </c>
      <c r="CQ229" s="330">
        <v>5</v>
      </c>
      <c r="CR229" s="330">
        <v>11</v>
      </c>
      <c r="CS229" s="330">
        <v>7</v>
      </c>
      <c r="CT229" s="330">
        <v>12</v>
      </c>
      <c r="CU229" s="330">
        <v>5</v>
      </c>
      <c r="CV229" s="330">
        <v>5</v>
      </c>
      <c r="CW229" s="330">
        <v>1</v>
      </c>
      <c r="CX229" s="330">
        <v>1</v>
      </c>
      <c r="CY229" s="328">
        <v>47</v>
      </c>
      <c r="CZ229" s="322" t="s">
        <v>934</v>
      </c>
      <c r="DA229" s="323">
        <v>0</v>
      </c>
      <c r="DB229" s="323">
        <v>0</v>
      </c>
      <c r="DC229" s="323">
        <v>0</v>
      </c>
      <c r="DD229" s="323">
        <v>0</v>
      </c>
      <c r="DE229" s="323">
        <v>0</v>
      </c>
      <c r="DF229" s="323">
        <v>0</v>
      </c>
      <c r="DG229" s="323">
        <v>0</v>
      </c>
      <c r="DH229" s="323">
        <v>0</v>
      </c>
      <c r="DI229" s="323">
        <v>0</v>
      </c>
      <c r="DJ229" s="337">
        <v>0</v>
      </c>
      <c r="DK229" s="644">
        <v>18878.6</v>
      </c>
      <c r="DL229" s="614">
        <v>1283</v>
      </c>
      <c r="DM229" s="614">
        <v>2676</v>
      </c>
      <c r="DN229" s="614">
        <v>6797</v>
      </c>
      <c r="DO229" s="614">
        <v>4759</v>
      </c>
      <c r="DP229" s="614">
        <v>2991</v>
      </c>
      <c r="DQ229" s="614">
        <v>1730</v>
      </c>
      <c r="DR229" s="614">
        <v>1013</v>
      </c>
      <c r="DS229" s="615">
        <v>94</v>
      </c>
      <c r="DT229" s="607">
        <f t="shared" si="3"/>
        <v>21343</v>
      </c>
      <c r="DU229" s="342"/>
      <c r="EC229" s="646"/>
      <c r="EF229" s="126"/>
      <c r="EG229" s="124"/>
    </row>
    <row r="230" spans="1:137" ht="15">
      <c r="A230" s="22">
        <v>222</v>
      </c>
      <c r="B230" s="23" t="s">
        <v>585</v>
      </c>
      <c r="C230" s="24" t="s">
        <v>586</v>
      </c>
      <c r="D230" s="613"/>
      <c r="E230" s="629">
        <v>5215</v>
      </c>
      <c r="F230" s="629">
        <v>12803</v>
      </c>
      <c r="G230" s="629">
        <v>25967</v>
      </c>
      <c r="H230" s="629">
        <v>9509</v>
      </c>
      <c r="I230" s="629">
        <v>5029</v>
      </c>
      <c r="J230" s="629">
        <v>3108</v>
      </c>
      <c r="K230" s="629">
        <v>1724</v>
      </c>
      <c r="L230" s="629">
        <v>79</v>
      </c>
      <c r="M230" s="627">
        <v>63434</v>
      </c>
      <c r="N230" s="322"/>
      <c r="O230" s="323">
        <v>302</v>
      </c>
      <c r="P230" s="323">
        <v>497</v>
      </c>
      <c r="Q230" s="323">
        <v>959</v>
      </c>
      <c r="R230" s="323">
        <v>375</v>
      </c>
      <c r="S230" s="323">
        <v>107</v>
      </c>
      <c r="T230" s="323">
        <v>53</v>
      </c>
      <c r="U230" s="323">
        <v>24</v>
      </c>
      <c r="V230" s="323">
        <v>7</v>
      </c>
      <c r="W230" s="323">
        <v>2324</v>
      </c>
      <c r="X230" s="329" t="s">
        <v>934</v>
      </c>
      <c r="Y230" s="330">
        <v>0</v>
      </c>
      <c r="Z230" s="330">
        <v>1</v>
      </c>
      <c r="AA230" s="330">
        <v>0</v>
      </c>
      <c r="AB230" s="330">
        <v>0</v>
      </c>
      <c r="AC230" s="330">
        <v>0</v>
      </c>
      <c r="AD230" s="330">
        <v>0</v>
      </c>
      <c r="AE230" s="330">
        <v>0</v>
      </c>
      <c r="AF230" s="330">
        <v>0</v>
      </c>
      <c r="AG230" s="328">
        <v>1</v>
      </c>
      <c r="AH230" s="329" t="s">
        <v>934</v>
      </c>
      <c r="AI230" s="184">
        <v>4</v>
      </c>
      <c r="AJ230" s="184">
        <v>19</v>
      </c>
      <c r="AK230" s="184">
        <v>107</v>
      </c>
      <c r="AL230" s="184">
        <v>50</v>
      </c>
      <c r="AM230" s="184">
        <v>46</v>
      </c>
      <c r="AN230" s="184">
        <v>23</v>
      </c>
      <c r="AO230" s="184">
        <v>13</v>
      </c>
      <c r="AP230" s="184">
        <v>4</v>
      </c>
      <c r="AQ230" s="336">
        <v>266</v>
      </c>
      <c r="AR230" s="323">
        <v>1</v>
      </c>
      <c r="AS230" s="323">
        <v>2927</v>
      </c>
      <c r="AT230" s="323">
        <v>6102</v>
      </c>
      <c r="AU230" s="323">
        <v>8555</v>
      </c>
      <c r="AV230" s="323">
        <v>2472</v>
      </c>
      <c r="AW230" s="323">
        <v>1095</v>
      </c>
      <c r="AX230" s="323">
        <v>517</v>
      </c>
      <c r="AY230" s="323">
        <v>183</v>
      </c>
      <c r="AZ230" s="323">
        <v>7</v>
      </c>
      <c r="BA230" s="323">
        <v>21859</v>
      </c>
      <c r="BB230" s="331">
        <v>0</v>
      </c>
      <c r="BC230" s="330">
        <v>33</v>
      </c>
      <c r="BD230" s="330">
        <v>101</v>
      </c>
      <c r="BE230" s="330">
        <v>163</v>
      </c>
      <c r="BF230" s="330">
        <v>52</v>
      </c>
      <c r="BG230" s="330">
        <v>25</v>
      </c>
      <c r="BH230" s="330">
        <v>25</v>
      </c>
      <c r="BI230" s="330">
        <v>8</v>
      </c>
      <c r="BJ230" s="330">
        <v>1</v>
      </c>
      <c r="BK230" s="328">
        <v>408</v>
      </c>
      <c r="BL230" s="323">
        <v>0</v>
      </c>
      <c r="BM230" s="323">
        <v>4</v>
      </c>
      <c r="BN230" s="323">
        <v>3</v>
      </c>
      <c r="BO230" s="323">
        <v>18</v>
      </c>
      <c r="BP230" s="323">
        <v>10</v>
      </c>
      <c r="BQ230" s="323">
        <v>7</v>
      </c>
      <c r="BR230" s="323">
        <v>10</v>
      </c>
      <c r="BS230" s="323">
        <v>24</v>
      </c>
      <c r="BT230" s="323">
        <v>15</v>
      </c>
      <c r="BU230" s="323">
        <v>91</v>
      </c>
      <c r="BV230" s="329" t="s">
        <v>934</v>
      </c>
      <c r="BW230" s="330">
        <v>135</v>
      </c>
      <c r="BX230" s="330">
        <v>288</v>
      </c>
      <c r="BY230" s="330">
        <v>381</v>
      </c>
      <c r="BZ230" s="330">
        <v>164</v>
      </c>
      <c r="CA230" s="330">
        <v>41</v>
      </c>
      <c r="CB230" s="330">
        <v>18</v>
      </c>
      <c r="CC230" s="330">
        <v>13</v>
      </c>
      <c r="CD230" s="330">
        <v>2</v>
      </c>
      <c r="CE230" s="328">
        <v>1042</v>
      </c>
      <c r="CF230" s="322" t="s">
        <v>934</v>
      </c>
      <c r="CG230" s="323">
        <v>0</v>
      </c>
      <c r="CH230" s="323">
        <v>0</v>
      </c>
      <c r="CI230" s="323">
        <v>0</v>
      </c>
      <c r="CJ230" s="323">
        <v>0</v>
      </c>
      <c r="CK230" s="323">
        <v>0</v>
      </c>
      <c r="CL230" s="323">
        <v>0</v>
      </c>
      <c r="CM230" s="323">
        <v>0</v>
      </c>
      <c r="CN230" s="323">
        <v>0</v>
      </c>
      <c r="CO230" s="323">
        <v>0</v>
      </c>
      <c r="CP230" s="329" t="s">
        <v>934</v>
      </c>
      <c r="CQ230" s="330">
        <v>143</v>
      </c>
      <c r="CR230" s="330">
        <v>196</v>
      </c>
      <c r="CS230" s="330">
        <v>206</v>
      </c>
      <c r="CT230" s="330">
        <v>81</v>
      </c>
      <c r="CU230" s="330">
        <v>36</v>
      </c>
      <c r="CV230" s="330">
        <v>18</v>
      </c>
      <c r="CW230" s="330">
        <v>10</v>
      </c>
      <c r="CX230" s="330">
        <v>3</v>
      </c>
      <c r="CY230" s="328">
        <v>693</v>
      </c>
      <c r="CZ230" s="322" t="s">
        <v>934</v>
      </c>
      <c r="DA230" s="323">
        <v>0</v>
      </c>
      <c r="DB230" s="323">
        <v>0</v>
      </c>
      <c r="DC230" s="323">
        <v>0</v>
      </c>
      <c r="DD230" s="323">
        <v>0</v>
      </c>
      <c r="DE230" s="323">
        <v>0</v>
      </c>
      <c r="DF230" s="323">
        <v>0</v>
      </c>
      <c r="DG230" s="323">
        <v>0</v>
      </c>
      <c r="DH230" s="323">
        <v>0</v>
      </c>
      <c r="DI230" s="323">
        <v>0</v>
      </c>
      <c r="DJ230" s="337">
        <v>0</v>
      </c>
      <c r="DK230" s="644">
        <v>52164.9</v>
      </c>
      <c r="DL230" s="616">
        <v>5263</v>
      </c>
      <c r="DM230" s="616">
        <v>12953</v>
      </c>
      <c r="DN230" s="616">
        <v>26373</v>
      </c>
      <c r="DO230" s="616">
        <v>9602</v>
      </c>
      <c r="DP230" s="616">
        <v>5074</v>
      </c>
      <c r="DQ230" s="616">
        <v>3146</v>
      </c>
      <c r="DR230" s="616">
        <v>1736</v>
      </c>
      <c r="DS230" s="617">
        <v>78</v>
      </c>
      <c r="DT230" s="607">
        <f t="shared" si="3"/>
        <v>64225</v>
      </c>
      <c r="DU230" s="342"/>
      <c r="EC230" s="646"/>
      <c r="EF230" s="125"/>
      <c r="EG230" s="124"/>
    </row>
    <row r="231" spans="1:137" ht="15">
      <c r="A231" s="22">
        <v>223</v>
      </c>
      <c r="B231" s="23" t="s">
        <v>587</v>
      </c>
      <c r="C231" s="24" t="s">
        <v>588</v>
      </c>
      <c r="D231" s="613"/>
      <c r="E231" s="626">
        <v>1571</v>
      </c>
      <c r="F231" s="626">
        <v>11335</v>
      </c>
      <c r="G231" s="626">
        <v>23923</v>
      </c>
      <c r="H231" s="626">
        <v>30837</v>
      </c>
      <c r="I231" s="626">
        <v>19314</v>
      </c>
      <c r="J231" s="626">
        <v>7233</v>
      </c>
      <c r="K231" s="626">
        <v>3085</v>
      </c>
      <c r="L231" s="626">
        <v>182</v>
      </c>
      <c r="M231" s="627">
        <v>97480</v>
      </c>
      <c r="N231" s="322"/>
      <c r="O231" s="323">
        <v>75</v>
      </c>
      <c r="P231" s="323">
        <v>546</v>
      </c>
      <c r="Q231" s="323">
        <v>774</v>
      </c>
      <c r="R231" s="323">
        <v>589</v>
      </c>
      <c r="S231" s="323">
        <v>285</v>
      </c>
      <c r="T231" s="323">
        <v>108</v>
      </c>
      <c r="U231" s="323">
        <v>36</v>
      </c>
      <c r="V231" s="323">
        <v>1</v>
      </c>
      <c r="W231" s="323">
        <v>2414</v>
      </c>
      <c r="X231" s="329" t="s">
        <v>934</v>
      </c>
      <c r="Y231" s="330">
        <v>0</v>
      </c>
      <c r="Z231" s="330">
        <v>0</v>
      </c>
      <c r="AA231" s="330">
        <v>0</v>
      </c>
      <c r="AB231" s="330">
        <v>0</v>
      </c>
      <c r="AC231" s="330">
        <v>0</v>
      </c>
      <c r="AD231" s="330">
        <v>0</v>
      </c>
      <c r="AE231" s="330">
        <v>0</v>
      </c>
      <c r="AF231" s="330">
        <v>0</v>
      </c>
      <c r="AG231" s="328">
        <v>0</v>
      </c>
      <c r="AH231" s="329" t="s">
        <v>934</v>
      </c>
      <c r="AI231" s="184">
        <v>1</v>
      </c>
      <c r="AJ231" s="184">
        <v>19</v>
      </c>
      <c r="AK231" s="184">
        <v>65</v>
      </c>
      <c r="AL231" s="184">
        <v>172</v>
      </c>
      <c r="AM231" s="184">
        <v>192</v>
      </c>
      <c r="AN231" s="184">
        <v>73</v>
      </c>
      <c r="AO231" s="184">
        <v>41</v>
      </c>
      <c r="AP231" s="184">
        <v>11</v>
      </c>
      <c r="AQ231" s="336">
        <v>574</v>
      </c>
      <c r="AR231" s="323">
        <v>0</v>
      </c>
      <c r="AS231" s="323">
        <v>838</v>
      </c>
      <c r="AT231" s="323">
        <v>6651</v>
      </c>
      <c r="AU231" s="323">
        <v>10388</v>
      </c>
      <c r="AV231" s="323">
        <v>7966</v>
      </c>
      <c r="AW231" s="323">
        <v>3912</v>
      </c>
      <c r="AX231" s="323">
        <v>1082</v>
      </c>
      <c r="AY231" s="323">
        <v>429</v>
      </c>
      <c r="AZ231" s="323">
        <v>14</v>
      </c>
      <c r="BA231" s="323">
        <v>31280</v>
      </c>
      <c r="BB231" s="331">
        <v>0</v>
      </c>
      <c r="BC231" s="330">
        <v>10</v>
      </c>
      <c r="BD231" s="330">
        <v>77</v>
      </c>
      <c r="BE231" s="330">
        <v>243</v>
      </c>
      <c r="BF231" s="330">
        <v>319</v>
      </c>
      <c r="BG231" s="330">
        <v>171</v>
      </c>
      <c r="BH231" s="330">
        <v>65</v>
      </c>
      <c r="BI231" s="330">
        <v>19</v>
      </c>
      <c r="BJ231" s="330">
        <v>2</v>
      </c>
      <c r="BK231" s="328">
        <v>906</v>
      </c>
      <c r="BL231" s="323">
        <v>0</v>
      </c>
      <c r="BM231" s="323">
        <v>0</v>
      </c>
      <c r="BN231" s="323">
        <v>15</v>
      </c>
      <c r="BO231" s="323">
        <v>7</v>
      </c>
      <c r="BP231" s="323">
        <v>21</v>
      </c>
      <c r="BQ231" s="323">
        <v>22</v>
      </c>
      <c r="BR231" s="323">
        <v>22</v>
      </c>
      <c r="BS231" s="323">
        <v>32</v>
      </c>
      <c r="BT231" s="323">
        <v>13</v>
      </c>
      <c r="BU231" s="323">
        <v>132</v>
      </c>
      <c r="BV231" s="329" t="s">
        <v>934</v>
      </c>
      <c r="BW231" s="330">
        <v>29</v>
      </c>
      <c r="BX231" s="330">
        <v>269</v>
      </c>
      <c r="BY231" s="330">
        <v>339</v>
      </c>
      <c r="BZ231" s="330">
        <v>203</v>
      </c>
      <c r="CA231" s="330">
        <v>118</v>
      </c>
      <c r="CB231" s="330">
        <v>42</v>
      </c>
      <c r="CC231" s="330">
        <v>19</v>
      </c>
      <c r="CD231" s="330">
        <v>2</v>
      </c>
      <c r="CE231" s="328">
        <v>1021</v>
      </c>
      <c r="CF231" s="322" t="s">
        <v>934</v>
      </c>
      <c r="CG231" s="323">
        <v>0</v>
      </c>
      <c r="CH231" s="323">
        <v>0</v>
      </c>
      <c r="CI231" s="323">
        <v>0</v>
      </c>
      <c r="CJ231" s="323">
        <v>0</v>
      </c>
      <c r="CK231" s="323">
        <v>0</v>
      </c>
      <c r="CL231" s="323">
        <v>0</v>
      </c>
      <c r="CM231" s="323">
        <v>0</v>
      </c>
      <c r="CN231" s="323">
        <v>0</v>
      </c>
      <c r="CO231" s="323">
        <v>0</v>
      </c>
      <c r="CP231" s="329" t="s">
        <v>934</v>
      </c>
      <c r="CQ231" s="330">
        <v>50</v>
      </c>
      <c r="CR231" s="330">
        <v>197</v>
      </c>
      <c r="CS231" s="330">
        <v>331</v>
      </c>
      <c r="CT231" s="330">
        <v>357</v>
      </c>
      <c r="CU231" s="330">
        <v>198</v>
      </c>
      <c r="CV231" s="330">
        <v>99</v>
      </c>
      <c r="CW231" s="330">
        <v>41</v>
      </c>
      <c r="CX231" s="330">
        <v>2</v>
      </c>
      <c r="CY231" s="328">
        <v>1275</v>
      </c>
      <c r="CZ231" s="322" t="s">
        <v>934</v>
      </c>
      <c r="DA231" s="323">
        <v>0</v>
      </c>
      <c r="DB231" s="323">
        <v>0</v>
      </c>
      <c r="DC231" s="323">
        <v>0</v>
      </c>
      <c r="DD231" s="323">
        <v>0</v>
      </c>
      <c r="DE231" s="323">
        <v>0</v>
      </c>
      <c r="DF231" s="323">
        <v>0</v>
      </c>
      <c r="DG231" s="323">
        <v>0</v>
      </c>
      <c r="DH231" s="323">
        <v>0</v>
      </c>
      <c r="DI231" s="323">
        <v>0</v>
      </c>
      <c r="DJ231" s="337">
        <v>0</v>
      </c>
      <c r="DK231" s="644">
        <v>90791.7</v>
      </c>
      <c r="DL231" s="614">
        <v>1581</v>
      </c>
      <c r="DM231" s="614">
        <v>11506</v>
      </c>
      <c r="DN231" s="614">
        <v>24283</v>
      </c>
      <c r="DO231" s="614">
        <v>30893</v>
      </c>
      <c r="DP231" s="614">
        <v>19313</v>
      </c>
      <c r="DQ231" s="614">
        <v>7272</v>
      </c>
      <c r="DR231" s="614">
        <v>3072</v>
      </c>
      <c r="DS231" s="615">
        <v>188</v>
      </c>
      <c r="DT231" s="607">
        <f t="shared" si="3"/>
        <v>98108</v>
      </c>
      <c r="DU231" s="342"/>
      <c r="EC231" s="646"/>
      <c r="EF231" s="126"/>
      <c r="EG231" s="124"/>
    </row>
    <row r="232" spans="1:137" ht="15">
      <c r="A232" s="22">
        <v>224</v>
      </c>
      <c r="B232" s="23" t="s">
        <v>589</v>
      </c>
      <c r="C232" s="24" t="s">
        <v>590</v>
      </c>
      <c r="D232" s="613"/>
      <c r="E232" s="629">
        <v>27336</v>
      </c>
      <c r="F232" s="629">
        <v>11803</v>
      </c>
      <c r="G232" s="629">
        <v>13349</v>
      </c>
      <c r="H232" s="629">
        <v>4850</v>
      </c>
      <c r="I232" s="629">
        <v>2827</v>
      </c>
      <c r="J232" s="629">
        <v>797</v>
      </c>
      <c r="K232" s="629">
        <v>378</v>
      </c>
      <c r="L232" s="629">
        <v>19</v>
      </c>
      <c r="M232" s="627">
        <v>61359</v>
      </c>
      <c r="N232" s="322"/>
      <c r="O232" s="323">
        <v>1024</v>
      </c>
      <c r="P232" s="323">
        <v>263</v>
      </c>
      <c r="Q232" s="323">
        <v>219</v>
      </c>
      <c r="R232" s="323">
        <v>74</v>
      </c>
      <c r="S232" s="323">
        <v>38</v>
      </c>
      <c r="T232" s="323">
        <v>11</v>
      </c>
      <c r="U232" s="323">
        <v>9</v>
      </c>
      <c r="V232" s="323">
        <v>0</v>
      </c>
      <c r="W232" s="323">
        <v>1638</v>
      </c>
      <c r="X232" s="329" t="s">
        <v>934</v>
      </c>
      <c r="Y232" s="330">
        <v>0</v>
      </c>
      <c r="Z232" s="330">
        <v>0</v>
      </c>
      <c r="AA232" s="330">
        <v>0</v>
      </c>
      <c r="AB232" s="330">
        <v>0</v>
      </c>
      <c r="AC232" s="330">
        <v>0</v>
      </c>
      <c r="AD232" s="330">
        <v>0</v>
      </c>
      <c r="AE232" s="330">
        <v>0</v>
      </c>
      <c r="AF232" s="330">
        <v>0</v>
      </c>
      <c r="AG232" s="328">
        <v>0</v>
      </c>
      <c r="AH232" s="329" t="s">
        <v>934</v>
      </c>
      <c r="AI232" s="184">
        <v>73</v>
      </c>
      <c r="AJ232" s="184">
        <v>103</v>
      </c>
      <c r="AK232" s="184">
        <v>137</v>
      </c>
      <c r="AL232" s="184">
        <v>60</v>
      </c>
      <c r="AM232" s="184">
        <v>31</v>
      </c>
      <c r="AN232" s="184">
        <v>12</v>
      </c>
      <c r="AO232" s="184">
        <v>23</v>
      </c>
      <c r="AP232" s="184">
        <v>7</v>
      </c>
      <c r="AQ232" s="336">
        <v>446</v>
      </c>
      <c r="AR232" s="323">
        <v>19</v>
      </c>
      <c r="AS232" s="323">
        <v>12998</v>
      </c>
      <c r="AT232" s="323">
        <v>3910</v>
      </c>
      <c r="AU232" s="323">
        <v>3222</v>
      </c>
      <c r="AV232" s="323">
        <v>899</v>
      </c>
      <c r="AW232" s="323">
        <v>413</v>
      </c>
      <c r="AX232" s="323">
        <v>118</v>
      </c>
      <c r="AY232" s="323">
        <v>32</v>
      </c>
      <c r="AZ232" s="323">
        <v>0</v>
      </c>
      <c r="BA232" s="323">
        <v>21611</v>
      </c>
      <c r="BB232" s="331">
        <v>7</v>
      </c>
      <c r="BC232" s="330">
        <v>180</v>
      </c>
      <c r="BD232" s="330">
        <v>130</v>
      </c>
      <c r="BE232" s="330">
        <v>128</v>
      </c>
      <c r="BF232" s="330">
        <v>37</v>
      </c>
      <c r="BG232" s="330">
        <v>20</v>
      </c>
      <c r="BH232" s="330">
        <v>10</v>
      </c>
      <c r="BI232" s="330">
        <v>2</v>
      </c>
      <c r="BJ232" s="330">
        <v>1</v>
      </c>
      <c r="BK232" s="328">
        <v>515</v>
      </c>
      <c r="BL232" s="323">
        <v>0</v>
      </c>
      <c r="BM232" s="323">
        <v>19</v>
      </c>
      <c r="BN232" s="323">
        <v>10</v>
      </c>
      <c r="BO232" s="323">
        <v>12</v>
      </c>
      <c r="BP232" s="323">
        <v>12</v>
      </c>
      <c r="BQ232" s="323">
        <v>5</v>
      </c>
      <c r="BR232" s="323">
        <v>22</v>
      </c>
      <c r="BS232" s="323">
        <v>15</v>
      </c>
      <c r="BT232" s="323">
        <v>3</v>
      </c>
      <c r="BU232" s="323">
        <v>98</v>
      </c>
      <c r="BV232" s="329" t="s">
        <v>934</v>
      </c>
      <c r="BW232" s="330">
        <v>19</v>
      </c>
      <c r="BX232" s="330">
        <v>5</v>
      </c>
      <c r="BY232" s="330">
        <v>5</v>
      </c>
      <c r="BZ232" s="330">
        <v>3</v>
      </c>
      <c r="CA232" s="330">
        <v>4</v>
      </c>
      <c r="CB232" s="330">
        <v>0</v>
      </c>
      <c r="CC232" s="330">
        <v>0</v>
      </c>
      <c r="CD232" s="330">
        <v>0</v>
      </c>
      <c r="CE232" s="328">
        <v>36</v>
      </c>
      <c r="CF232" s="322" t="s">
        <v>934</v>
      </c>
      <c r="CG232" s="323">
        <v>12</v>
      </c>
      <c r="CH232" s="323">
        <v>13</v>
      </c>
      <c r="CI232" s="323">
        <v>15</v>
      </c>
      <c r="CJ232" s="323">
        <v>6</v>
      </c>
      <c r="CK232" s="323">
        <v>2</v>
      </c>
      <c r="CL232" s="323">
        <v>1</v>
      </c>
      <c r="CM232" s="323">
        <v>0</v>
      </c>
      <c r="CN232" s="323">
        <v>1</v>
      </c>
      <c r="CO232" s="323">
        <v>50</v>
      </c>
      <c r="CP232" s="329" t="s">
        <v>934</v>
      </c>
      <c r="CQ232" s="330">
        <v>0</v>
      </c>
      <c r="CR232" s="330">
        <v>0</v>
      </c>
      <c r="CS232" s="330">
        <v>0</v>
      </c>
      <c r="CT232" s="330">
        <v>0</v>
      </c>
      <c r="CU232" s="330">
        <v>0</v>
      </c>
      <c r="CV232" s="330">
        <v>0</v>
      </c>
      <c r="CW232" s="330">
        <v>0</v>
      </c>
      <c r="CX232" s="330">
        <v>0</v>
      </c>
      <c r="CY232" s="328">
        <v>0</v>
      </c>
      <c r="CZ232" s="322" t="s">
        <v>934</v>
      </c>
      <c r="DA232" s="323">
        <v>645</v>
      </c>
      <c r="DB232" s="323">
        <v>167</v>
      </c>
      <c r="DC232" s="323">
        <v>114</v>
      </c>
      <c r="DD232" s="323">
        <v>38</v>
      </c>
      <c r="DE232" s="323">
        <v>21</v>
      </c>
      <c r="DF232" s="323">
        <v>13</v>
      </c>
      <c r="DG232" s="323">
        <v>4</v>
      </c>
      <c r="DH232" s="323">
        <v>1</v>
      </c>
      <c r="DI232" s="323">
        <v>1003</v>
      </c>
      <c r="DJ232" s="337">
        <v>0</v>
      </c>
      <c r="DK232" s="644">
        <v>43778.2</v>
      </c>
      <c r="DL232" s="616">
        <v>27123</v>
      </c>
      <c r="DM232" s="616">
        <v>12013</v>
      </c>
      <c r="DN232" s="616">
        <v>13403</v>
      </c>
      <c r="DO232" s="616">
        <v>4939</v>
      </c>
      <c r="DP232" s="616">
        <v>2871</v>
      </c>
      <c r="DQ232" s="616">
        <v>810</v>
      </c>
      <c r="DR232" s="616">
        <v>390</v>
      </c>
      <c r="DS232" s="617">
        <v>19</v>
      </c>
      <c r="DT232" s="607">
        <f t="shared" si="3"/>
        <v>61568</v>
      </c>
      <c r="DU232" s="342"/>
      <c r="EC232" s="646"/>
      <c r="EF232" s="125"/>
      <c r="EG232" s="124"/>
    </row>
    <row r="233" spans="1:137" ht="15">
      <c r="A233" s="22">
        <v>225</v>
      </c>
      <c r="B233" s="23" t="s">
        <v>591</v>
      </c>
      <c r="C233" s="24" t="s">
        <v>592</v>
      </c>
      <c r="D233" s="613"/>
      <c r="E233" s="636">
        <v>7291</v>
      </c>
      <c r="F233" s="636">
        <v>11215</v>
      </c>
      <c r="G233" s="636">
        <v>7061</v>
      </c>
      <c r="H233" s="636">
        <v>4121</v>
      </c>
      <c r="I233" s="636">
        <v>3030</v>
      </c>
      <c r="J233" s="636">
        <v>1131</v>
      </c>
      <c r="K233" s="636">
        <v>400</v>
      </c>
      <c r="L233" s="636">
        <v>19</v>
      </c>
      <c r="M233" s="627">
        <v>34268</v>
      </c>
      <c r="N233" s="322"/>
      <c r="O233" s="323">
        <v>233</v>
      </c>
      <c r="P233" s="323">
        <v>240</v>
      </c>
      <c r="Q233" s="323">
        <v>120</v>
      </c>
      <c r="R233" s="323">
        <v>45</v>
      </c>
      <c r="S233" s="323">
        <v>30</v>
      </c>
      <c r="T233" s="323">
        <v>14</v>
      </c>
      <c r="U233" s="323">
        <v>6</v>
      </c>
      <c r="V233" s="323">
        <v>0</v>
      </c>
      <c r="W233" s="323">
        <v>688</v>
      </c>
      <c r="X233" s="329" t="s">
        <v>934</v>
      </c>
      <c r="Y233" s="330">
        <v>0</v>
      </c>
      <c r="Z233" s="330">
        <v>0</v>
      </c>
      <c r="AA233" s="330">
        <v>0</v>
      </c>
      <c r="AB233" s="330">
        <v>0</v>
      </c>
      <c r="AC233" s="330">
        <v>0</v>
      </c>
      <c r="AD233" s="330">
        <v>0</v>
      </c>
      <c r="AE233" s="330">
        <v>0</v>
      </c>
      <c r="AF233" s="330">
        <v>0</v>
      </c>
      <c r="AG233" s="328">
        <v>0</v>
      </c>
      <c r="AH233" s="329" t="s">
        <v>934</v>
      </c>
      <c r="AI233" s="184">
        <v>13</v>
      </c>
      <c r="AJ233" s="184">
        <v>56</v>
      </c>
      <c r="AK233" s="184">
        <v>43</v>
      </c>
      <c r="AL233" s="184">
        <v>22</v>
      </c>
      <c r="AM233" s="184">
        <v>22</v>
      </c>
      <c r="AN233" s="184">
        <v>10</v>
      </c>
      <c r="AO233" s="184">
        <v>3</v>
      </c>
      <c r="AP233" s="184">
        <v>4</v>
      </c>
      <c r="AQ233" s="336">
        <v>173</v>
      </c>
      <c r="AR233" s="323">
        <v>5</v>
      </c>
      <c r="AS233" s="323">
        <v>4381</v>
      </c>
      <c r="AT233" s="323">
        <v>3882</v>
      </c>
      <c r="AU233" s="323">
        <v>1857</v>
      </c>
      <c r="AV233" s="323">
        <v>827</v>
      </c>
      <c r="AW233" s="323">
        <v>405</v>
      </c>
      <c r="AX233" s="323">
        <v>127</v>
      </c>
      <c r="AY233" s="323">
        <v>37</v>
      </c>
      <c r="AZ233" s="323">
        <v>2</v>
      </c>
      <c r="BA233" s="323">
        <v>11523</v>
      </c>
      <c r="BB233" s="331">
        <v>0</v>
      </c>
      <c r="BC233" s="330">
        <v>41</v>
      </c>
      <c r="BD233" s="330">
        <v>80</v>
      </c>
      <c r="BE233" s="330">
        <v>46</v>
      </c>
      <c r="BF233" s="330">
        <v>32</v>
      </c>
      <c r="BG233" s="330">
        <v>17</v>
      </c>
      <c r="BH233" s="330">
        <v>5</v>
      </c>
      <c r="BI233" s="330">
        <v>1</v>
      </c>
      <c r="BJ233" s="330">
        <v>0</v>
      </c>
      <c r="BK233" s="328">
        <v>222</v>
      </c>
      <c r="BL233" s="323">
        <v>0</v>
      </c>
      <c r="BM233" s="323">
        <v>3</v>
      </c>
      <c r="BN233" s="323">
        <v>3</v>
      </c>
      <c r="BO233" s="323">
        <v>1</v>
      </c>
      <c r="BP233" s="323">
        <v>2</v>
      </c>
      <c r="BQ233" s="323">
        <v>3</v>
      </c>
      <c r="BR233" s="323">
        <v>3</v>
      </c>
      <c r="BS233" s="323">
        <v>6</v>
      </c>
      <c r="BT233" s="323">
        <v>0</v>
      </c>
      <c r="BU233" s="323">
        <v>21</v>
      </c>
      <c r="BV233" s="329" t="s">
        <v>934</v>
      </c>
      <c r="BW233" s="330">
        <v>3</v>
      </c>
      <c r="BX233" s="330">
        <v>4</v>
      </c>
      <c r="BY233" s="330">
        <v>6</v>
      </c>
      <c r="BZ233" s="330">
        <v>1</v>
      </c>
      <c r="CA233" s="330">
        <v>1</v>
      </c>
      <c r="CB233" s="330">
        <v>6</v>
      </c>
      <c r="CC233" s="330">
        <v>2</v>
      </c>
      <c r="CD233" s="330">
        <v>0</v>
      </c>
      <c r="CE233" s="328">
        <v>23</v>
      </c>
      <c r="CF233" s="322" t="s">
        <v>934</v>
      </c>
      <c r="CG233" s="323">
        <v>125</v>
      </c>
      <c r="CH233" s="323">
        <v>122</v>
      </c>
      <c r="CI233" s="323">
        <v>52</v>
      </c>
      <c r="CJ233" s="323">
        <v>36</v>
      </c>
      <c r="CK233" s="323">
        <v>15</v>
      </c>
      <c r="CL233" s="323">
        <v>12</v>
      </c>
      <c r="CM233" s="323">
        <v>5</v>
      </c>
      <c r="CN233" s="323">
        <v>1</v>
      </c>
      <c r="CO233" s="323">
        <v>368</v>
      </c>
      <c r="CP233" s="329" t="s">
        <v>934</v>
      </c>
      <c r="CQ233" s="330">
        <v>0</v>
      </c>
      <c r="CR233" s="330">
        <v>0</v>
      </c>
      <c r="CS233" s="330">
        <v>0</v>
      </c>
      <c r="CT233" s="330">
        <v>0</v>
      </c>
      <c r="CU233" s="330">
        <v>0</v>
      </c>
      <c r="CV233" s="330">
        <v>0</v>
      </c>
      <c r="CW233" s="330">
        <v>0</v>
      </c>
      <c r="CX233" s="330">
        <v>0</v>
      </c>
      <c r="CY233" s="328">
        <v>0</v>
      </c>
      <c r="CZ233" s="322" t="s">
        <v>934</v>
      </c>
      <c r="DA233" s="323">
        <v>0</v>
      </c>
      <c r="DB233" s="323">
        <v>0</v>
      </c>
      <c r="DC233" s="323">
        <v>0</v>
      </c>
      <c r="DD233" s="323">
        <v>0</v>
      </c>
      <c r="DE233" s="323">
        <v>0</v>
      </c>
      <c r="DF233" s="323">
        <v>0</v>
      </c>
      <c r="DG233" s="323">
        <v>0</v>
      </c>
      <c r="DH233" s="323">
        <v>0</v>
      </c>
      <c r="DI233" s="323">
        <v>0</v>
      </c>
      <c r="DJ233" s="337">
        <v>0</v>
      </c>
      <c r="DK233" s="644">
        <v>26920.6</v>
      </c>
      <c r="DL233" s="616">
        <v>7349</v>
      </c>
      <c r="DM233" s="616">
        <v>11385</v>
      </c>
      <c r="DN233" s="616">
        <v>7123</v>
      </c>
      <c r="DO233" s="616">
        <v>4157</v>
      </c>
      <c r="DP233" s="616">
        <v>3059</v>
      </c>
      <c r="DQ233" s="616">
        <v>1131</v>
      </c>
      <c r="DR233" s="616">
        <v>404</v>
      </c>
      <c r="DS233" s="617">
        <v>19</v>
      </c>
      <c r="DT233" s="607">
        <f t="shared" si="3"/>
        <v>34627</v>
      </c>
      <c r="DU233" s="342"/>
      <c r="EC233" s="646"/>
      <c r="EF233" s="125"/>
      <c r="EG233" s="124"/>
    </row>
    <row r="234" spans="1:137" ht="15">
      <c r="A234" s="22">
        <v>226</v>
      </c>
      <c r="B234" s="23" t="s">
        <v>593</v>
      </c>
      <c r="C234" s="24" t="s">
        <v>594</v>
      </c>
      <c r="D234" s="613"/>
      <c r="E234" s="628">
        <v>932</v>
      </c>
      <c r="F234" s="628">
        <v>3366</v>
      </c>
      <c r="G234" s="628">
        <v>10563</v>
      </c>
      <c r="H234" s="628">
        <v>15500</v>
      </c>
      <c r="I234" s="628">
        <v>9649</v>
      </c>
      <c r="J234" s="628">
        <v>6784</v>
      </c>
      <c r="K234" s="628">
        <v>6812</v>
      </c>
      <c r="L234" s="628">
        <v>877</v>
      </c>
      <c r="M234" s="627">
        <v>54483</v>
      </c>
      <c r="N234" s="322"/>
      <c r="O234" s="323">
        <v>94</v>
      </c>
      <c r="P234" s="323">
        <v>184</v>
      </c>
      <c r="Q234" s="323">
        <v>304</v>
      </c>
      <c r="R234" s="323">
        <v>302</v>
      </c>
      <c r="S234" s="323">
        <v>164</v>
      </c>
      <c r="T234" s="323">
        <v>87</v>
      </c>
      <c r="U234" s="323">
        <v>82</v>
      </c>
      <c r="V234" s="323">
        <v>14</v>
      </c>
      <c r="W234" s="323">
        <v>1231</v>
      </c>
      <c r="X234" s="329" t="s">
        <v>934</v>
      </c>
      <c r="Y234" s="330">
        <v>1</v>
      </c>
      <c r="Z234" s="330">
        <v>0</v>
      </c>
      <c r="AA234" s="330">
        <v>3</v>
      </c>
      <c r="AB234" s="330">
        <v>0</v>
      </c>
      <c r="AC234" s="330">
        <v>1</v>
      </c>
      <c r="AD234" s="330">
        <v>3</v>
      </c>
      <c r="AE234" s="330">
        <v>0</v>
      </c>
      <c r="AF234" s="330">
        <v>0</v>
      </c>
      <c r="AG234" s="328">
        <v>8</v>
      </c>
      <c r="AH234" s="329" t="s">
        <v>934</v>
      </c>
      <c r="AI234" s="184">
        <v>1</v>
      </c>
      <c r="AJ234" s="184">
        <v>4</v>
      </c>
      <c r="AK234" s="184">
        <v>46</v>
      </c>
      <c r="AL234" s="184">
        <v>92</v>
      </c>
      <c r="AM234" s="184">
        <v>73</v>
      </c>
      <c r="AN234" s="184">
        <v>48</v>
      </c>
      <c r="AO234" s="184">
        <v>61</v>
      </c>
      <c r="AP234" s="184">
        <v>27</v>
      </c>
      <c r="AQ234" s="336">
        <v>352</v>
      </c>
      <c r="AR234" s="323">
        <v>0</v>
      </c>
      <c r="AS234" s="323">
        <v>501</v>
      </c>
      <c r="AT234" s="323">
        <v>1895</v>
      </c>
      <c r="AU234" s="323">
        <v>4648</v>
      </c>
      <c r="AV234" s="323">
        <v>4623</v>
      </c>
      <c r="AW234" s="323">
        <v>2309</v>
      </c>
      <c r="AX234" s="323">
        <v>1278</v>
      </c>
      <c r="AY234" s="323">
        <v>874</v>
      </c>
      <c r="AZ234" s="323">
        <v>69</v>
      </c>
      <c r="BA234" s="323">
        <v>16197</v>
      </c>
      <c r="BB234" s="331">
        <v>0</v>
      </c>
      <c r="BC234" s="330">
        <v>0</v>
      </c>
      <c r="BD234" s="330">
        <v>16</v>
      </c>
      <c r="BE234" s="330">
        <v>45</v>
      </c>
      <c r="BF234" s="330">
        <v>72</v>
      </c>
      <c r="BG234" s="330">
        <v>36</v>
      </c>
      <c r="BH234" s="330">
        <v>29</v>
      </c>
      <c r="BI234" s="330">
        <v>26</v>
      </c>
      <c r="BJ234" s="330">
        <v>2</v>
      </c>
      <c r="BK234" s="328">
        <v>226</v>
      </c>
      <c r="BL234" s="323">
        <v>0</v>
      </c>
      <c r="BM234" s="323">
        <v>0</v>
      </c>
      <c r="BN234" s="323">
        <v>3</v>
      </c>
      <c r="BO234" s="323">
        <v>7</v>
      </c>
      <c r="BP234" s="323">
        <v>6</v>
      </c>
      <c r="BQ234" s="323">
        <v>19</v>
      </c>
      <c r="BR234" s="323">
        <v>35</v>
      </c>
      <c r="BS234" s="323">
        <v>61</v>
      </c>
      <c r="BT234" s="323">
        <v>11</v>
      </c>
      <c r="BU234" s="323">
        <v>142</v>
      </c>
      <c r="BV234" s="329" t="s">
        <v>934</v>
      </c>
      <c r="BW234" s="330">
        <v>14</v>
      </c>
      <c r="BX234" s="330">
        <v>51</v>
      </c>
      <c r="BY234" s="330">
        <v>128</v>
      </c>
      <c r="BZ234" s="330">
        <v>105</v>
      </c>
      <c r="CA234" s="330">
        <v>61</v>
      </c>
      <c r="CB234" s="330">
        <v>37</v>
      </c>
      <c r="CC234" s="330">
        <v>39</v>
      </c>
      <c r="CD234" s="330">
        <v>11</v>
      </c>
      <c r="CE234" s="328">
        <v>446</v>
      </c>
      <c r="CF234" s="322" t="s">
        <v>934</v>
      </c>
      <c r="CG234" s="323">
        <v>0</v>
      </c>
      <c r="CH234" s="323">
        <v>0</v>
      </c>
      <c r="CI234" s="323">
        <v>0</v>
      </c>
      <c r="CJ234" s="323">
        <v>0</v>
      </c>
      <c r="CK234" s="323">
        <v>0</v>
      </c>
      <c r="CL234" s="323">
        <v>0</v>
      </c>
      <c r="CM234" s="323">
        <v>0</v>
      </c>
      <c r="CN234" s="323">
        <v>0</v>
      </c>
      <c r="CO234" s="323">
        <v>0</v>
      </c>
      <c r="CP234" s="329" t="s">
        <v>934</v>
      </c>
      <c r="CQ234" s="330">
        <v>19</v>
      </c>
      <c r="CR234" s="330">
        <v>36</v>
      </c>
      <c r="CS234" s="330">
        <v>55</v>
      </c>
      <c r="CT234" s="330">
        <v>56</v>
      </c>
      <c r="CU234" s="330">
        <v>30</v>
      </c>
      <c r="CV234" s="330">
        <v>19</v>
      </c>
      <c r="CW234" s="330">
        <v>10</v>
      </c>
      <c r="CX234" s="330">
        <v>5</v>
      </c>
      <c r="CY234" s="328">
        <v>230</v>
      </c>
      <c r="CZ234" s="322" t="s">
        <v>934</v>
      </c>
      <c r="DA234" s="323">
        <v>0</v>
      </c>
      <c r="DB234" s="323">
        <v>0</v>
      </c>
      <c r="DC234" s="323">
        <v>0</v>
      </c>
      <c r="DD234" s="323">
        <v>0</v>
      </c>
      <c r="DE234" s="323">
        <v>0</v>
      </c>
      <c r="DF234" s="323">
        <v>0</v>
      </c>
      <c r="DG234" s="323">
        <v>0</v>
      </c>
      <c r="DH234" s="323">
        <v>0</v>
      </c>
      <c r="DI234" s="323">
        <v>0</v>
      </c>
      <c r="DJ234" s="337">
        <v>0</v>
      </c>
      <c r="DK234" s="644">
        <v>56867.3</v>
      </c>
      <c r="DL234" s="614">
        <v>941</v>
      </c>
      <c r="DM234" s="614">
        <v>3365</v>
      </c>
      <c r="DN234" s="614">
        <v>10782</v>
      </c>
      <c r="DO234" s="614">
        <v>15730</v>
      </c>
      <c r="DP234" s="614">
        <v>9855</v>
      </c>
      <c r="DQ234" s="614">
        <v>6804</v>
      </c>
      <c r="DR234" s="614">
        <v>6832</v>
      </c>
      <c r="DS234" s="615">
        <v>879</v>
      </c>
      <c r="DT234" s="607">
        <f t="shared" si="3"/>
        <v>55188</v>
      </c>
      <c r="DU234" s="342"/>
      <c r="EC234" s="646"/>
      <c r="EF234" s="126"/>
      <c r="EG234" s="124"/>
    </row>
    <row r="235" spans="1:137" ht="15">
      <c r="A235" s="22">
        <v>227</v>
      </c>
      <c r="B235" s="23" t="s">
        <v>595</v>
      </c>
      <c r="C235" s="24" t="s">
        <v>596</v>
      </c>
      <c r="D235" s="613"/>
      <c r="E235" s="629">
        <v>11557</v>
      </c>
      <c r="F235" s="629">
        <v>11777</v>
      </c>
      <c r="G235" s="629">
        <v>9577</v>
      </c>
      <c r="H235" s="629">
        <v>6698</v>
      </c>
      <c r="I235" s="629">
        <v>3151</v>
      </c>
      <c r="J235" s="629">
        <v>1091</v>
      </c>
      <c r="K235" s="629">
        <v>485</v>
      </c>
      <c r="L235" s="629">
        <v>26</v>
      </c>
      <c r="M235" s="627">
        <v>44362</v>
      </c>
      <c r="N235" s="322"/>
      <c r="O235" s="323">
        <v>493</v>
      </c>
      <c r="P235" s="323">
        <v>356</v>
      </c>
      <c r="Q235" s="323">
        <v>209</v>
      </c>
      <c r="R235" s="323">
        <v>125</v>
      </c>
      <c r="S235" s="323">
        <v>69</v>
      </c>
      <c r="T235" s="323">
        <v>32</v>
      </c>
      <c r="U235" s="323">
        <v>11</v>
      </c>
      <c r="V235" s="323">
        <v>4</v>
      </c>
      <c r="W235" s="323">
        <v>1299</v>
      </c>
      <c r="X235" s="329" t="s">
        <v>934</v>
      </c>
      <c r="Y235" s="330">
        <v>0</v>
      </c>
      <c r="Z235" s="330">
        <v>0</v>
      </c>
      <c r="AA235" s="330">
        <v>0</v>
      </c>
      <c r="AB235" s="330">
        <v>0</v>
      </c>
      <c r="AC235" s="330">
        <v>0</v>
      </c>
      <c r="AD235" s="330">
        <v>0</v>
      </c>
      <c r="AE235" s="330">
        <v>0</v>
      </c>
      <c r="AF235" s="330">
        <v>0</v>
      </c>
      <c r="AG235" s="328">
        <v>0</v>
      </c>
      <c r="AH235" s="329" t="s">
        <v>934</v>
      </c>
      <c r="AI235" s="184">
        <v>29</v>
      </c>
      <c r="AJ235" s="184">
        <v>64</v>
      </c>
      <c r="AK235" s="184">
        <v>90</v>
      </c>
      <c r="AL235" s="184">
        <v>64</v>
      </c>
      <c r="AM235" s="184">
        <v>37</v>
      </c>
      <c r="AN235" s="184">
        <v>17</v>
      </c>
      <c r="AO235" s="184">
        <v>22</v>
      </c>
      <c r="AP235" s="184">
        <v>8</v>
      </c>
      <c r="AQ235" s="336">
        <v>331</v>
      </c>
      <c r="AR235" s="323">
        <v>4</v>
      </c>
      <c r="AS235" s="323">
        <v>5145</v>
      </c>
      <c r="AT235" s="323">
        <v>3776</v>
      </c>
      <c r="AU235" s="323">
        <v>2497</v>
      </c>
      <c r="AV235" s="323">
        <v>1319</v>
      </c>
      <c r="AW235" s="323">
        <v>512</v>
      </c>
      <c r="AX235" s="323">
        <v>162</v>
      </c>
      <c r="AY235" s="323">
        <v>65</v>
      </c>
      <c r="AZ235" s="323">
        <v>0</v>
      </c>
      <c r="BA235" s="323">
        <v>13480</v>
      </c>
      <c r="BB235" s="331">
        <v>1</v>
      </c>
      <c r="BC235" s="330">
        <v>62</v>
      </c>
      <c r="BD235" s="330">
        <v>94</v>
      </c>
      <c r="BE235" s="330">
        <v>59</v>
      </c>
      <c r="BF235" s="330">
        <v>38</v>
      </c>
      <c r="BG235" s="330">
        <v>13</v>
      </c>
      <c r="BH235" s="330">
        <v>9</v>
      </c>
      <c r="BI235" s="330">
        <v>5</v>
      </c>
      <c r="BJ235" s="330">
        <v>0</v>
      </c>
      <c r="BK235" s="328">
        <v>281</v>
      </c>
      <c r="BL235" s="323">
        <v>1</v>
      </c>
      <c r="BM235" s="323">
        <v>4</v>
      </c>
      <c r="BN235" s="323">
        <v>4</v>
      </c>
      <c r="BO235" s="323">
        <v>9</v>
      </c>
      <c r="BP235" s="323">
        <v>10</v>
      </c>
      <c r="BQ235" s="323">
        <v>9</v>
      </c>
      <c r="BR235" s="323">
        <v>20</v>
      </c>
      <c r="BS235" s="323">
        <v>11</v>
      </c>
      <c r="BT235" s="323">
        <v>1</v>
      </c>
      <c r="BU235" s="323">
        <v>69</v>
      </c>
      <c r="BV235" s="329" t="s">
        <v>934</v>
      </c>
      <c r="BW235" s="330">
        <v>374</v>
      </c>
      <c r="BX235" s="330">
        <v>339</v>
      </c>
      <c r="BY235" s="330">
        <v>341</v>
      </c>
      <c r="BZ235" s="330">
        <v>238</v>
      </c>
      <c r="CA235" s="330">
        <v>151</v>
      </c>
      <c r="CB235" s="330">
        <v>86</v>
      </c>
      <c r="CC235" s="330">
        <v>50</v>
      </c>
      <c r="CD235" s="330">
        <v>1</v>
      </c>
      <c r="CE235" s="328">
        <v>1580</v>
      </c>
      <c r="CF235" s="322" t="s">
        <v>934</v>
      </c>
      <c r="CG235" s="323">
        <v>0</v>
      </c>
      <c r="CH235" s="323">
        <v>0</v>
      </c>
      <c r="CI235" s="323">
        <v>0</v>
      </c>
      <c r="CJ235" s="323">
        <v>0</v>
      </c>
      <c r="CK235" s="323">
        <v>0</v>
      </c>
      <c r="CL235" s="323">
        <v>0</v>
      </c>
      <c r="CM235" s="323">
        <v>0</v>
      </c>
      <c r="CN235" s="323">
        <v>0</v>
      </c>
      <c r="CO235" s="323">
        <v>0</v>
      </c>
      <c r="CP235" s="329" t="s">
        <v>934</v>
      </c>
      <c r="CQ235" s="330">
        <v>136</v>
      </c>
      <c r="CR235" s="330">
        <v>83</v>
      </c>
      <c r="CS235" s="330">
        <v>49</v>
      </c>
      <c r="CT235" s="330">
        <v>36</v>
      </c>
      <c r="CU235" s="330">
        <v>14</v>
      </c>
      <c r="CV235" s="330">
        <v>9</v>
      </c>
      <c r="CW235" s="330">
        <v>5</v>
      </c>
      <c r="CX235" s="330">
        <v>0</v>
      </c>
      <c r="CY235" s="328">
        <v>332</v>
      </c>
      <c r="CZ235" s="322" t="s">
        <v>934</v>
      </c>
      <c r="DA235" s="323">
        <v>0</v>
      </c>
      <c r="DB235" s="323">
        <v>0</v>
      </c>
      <c r="DC235" s="323">
        <v>0</v>
      </c>
      <c r="DD235" s="323">
        <v>0</v>
      </c>
      <c r="DE235" s="323">
        <v>0</v>
      </c>
      <c r="DF235" s="323">
        <v>0</v>
      </c>
      <c r="DG235" s="323">
        <v>0</v>
      </c>
      <c r="DH235" s="323">
        <v>0</v>
      </c>
      <c r="DI235" s="323">
        <v>0</v>
      </c>
      <c r="DJ235" s="337">
        <v>129.3</v>
      </c>
      <c r="DK235" s="644">
        <v>33825.9</v>
      </c>
      <c r="DL235" s="616">
        <v>11782</v>
      </c>
      <c r="DM235" s="616">
        <v>11955</v>
      </c>
      <c r="DN235" s="616">
        <v>9724</v>
      </c>
      <c r="DO235" s="616">
        <v>6817</v>
      </c>
      <c r="DP235" s="616">
        <v>3194</v>
      </c>
      <c r="DQ235" s="616">
        <v>1102</v>
      </c>
      <c r="DR235" s="616">
        <v>487</v>
      </c>
      <c r="DS235" s="617">
        <v>26</v>
      </c>
      <c r="DT235" s="607">
        <f t="shared" si="3"/>
        <v>45087</v>
      </c>
      <c r="DU235" s="342"/>
      <c r="EC235" s="646"/>
      <c r="EF235" s="125"/>
      <c r="EG235" s="124"/>
    </row>
    <row r="236" spans="1:137" ht="15">
      <c r="A236" s="22">
        <v>228</v>
      </c>
      <c r="B236" s="23" t="s">
        <v>597</v>
      </c>
      <c r="C236" s="24" t="s">
        <v>598</v>
      </c>
      <c r="D236" s="613"/>
      <c r="E236" s="628">
        <v>3306</v>
      </c>
      <c r="F236" s="628">
        <v>4649</v>
      </c>
      <c r="G236" s="628">
        <v>4738</v>
      </c>
      <c r="H236" s="628">
        <v>4426</v>
      </c>
      <c r="I236" s="628">
        <v>3225</v>
      </c>
      <c r="J236" s="628">
        <v>2015</v>
      </c>
      <c r="K236" s="628">
        <v>1860</v>
      </c>
      <c r="L236" s="628">
        <v>190</v>
      </c>
      <c r="M236" s="627">
        <v>24409</v>
      </c>
      <c r="N236" s="322"/>
      <c r="O236" s="323">
        <v>163</v>
      </c>
      <c r="P236" s="323">
        <v>150</v>
      </c>
      <c r="Q236" s="323">
        <v>110</v>
      </c>
      <c r="R236" s="323">
        <v>88</v>
      </c>
      <c r="S236" s="323">
        <v>49</v>
      </c>
      <c r="T236" s="323">
        <v>20</v>
      </c>
      <c r="U236" s="323">
        <v>17</v>
      </c>
      <c r="V236" s="323">
        <v>3</v>
      </c>
      <c r="W236" s="323">
        <v>600</v>
      </c>
      <c r="X236" s="329" t="s">
        <v>934</v>
      </c>
      <c r="Y236" s="330">
        <v>0</v>
      </c>
      <c r="Z236" s="330">
        <v>0</v>
      </c>
      <c r="AA236" s="330">
        <v>0</v>
      </c>
      <c r="AB236" s="330">
        <v>0</v>
      </c>
      <c r="AC236" s="330">
        <v>0</v>
      </c>
      <c r="AD236" s="330">
        <v>0</v>
      </c>
      <c r="AE236" s="330">
        <v>0</v>
      </c>
      <c r="AF236" s="330">
        <v>0</v>
      </c>
      <c r="AG236" s="328">
        <v>0</v>
      </c>
      <c r="AH236" s="329" t="s">
        <v>934</v>
      </c>
      <c r="AI236" s="184">
        <v>7</v>
      </c>
      <c r="AJ236" s="184">
        <v>15</v>
      </c>
      <c r="AK236" s="184">
        <v>31</v>
      </c>
      <c r="AL236" s="184">
        <v>36</v>
      </c>
      <c r="AM236" s="184">
        <v>26</v>
      </c>
      <c r="AN236" s="184">
        <v>17</v>
      </c>
      <c r="AO236" s="184">
        <v>22</v>
      </c>
      <c r="AP236" s="184">
        <v>11</v>
      </c>
      <c r="AQ236" s="336">
        <v>165</v>
      </c>
      <c r="AR236" s="323">
        <v>1</v>
      </c>
      <c r="AS236" s="323">
        <v>1743</v>
      </c>
      <c r="AT236" s="323">
        <v>1769</v>
      </c>
      <c r="AU236" s="323">
        <v>1500</v>
      </c>
      <c r="AV236" s="323">
        <v>1093</v>
      </c>
      <c r="AW236" s="323">
        <v>555</v>
      </c>
      <c r="AX236" s="323">
        <v>296</v>
      </c>
      <c r="AY236" s="323">
        <v>188</v>
      </c>
      <c r="AZ236" s="323">
        <v>22</v>
      </c>
      <c r="BA236" s="323">
        <v>7167</v>
      </c>
      <c r="BB236" s="331">
        <v>0</v>
      </c>
      <c r="BC236" s="330">
        <v>16</v>
      </c>
      <c r="BD236" s="330">
        <v>56</v>
      </c>
      <c r="BE236" s="330">
        <v>36</v>
      </c>
      <c r="BF236" s="330">
        <v>27</v>
      </c>
      <c r="BG236" s="330">
        <v>32</v>
      </c>
      <c r="BH236" s="330">
        <v>6</v>
      </c>
      <c r="BI236" s="330">
        <v>8</v>
      </c>
      <c r="BJ236" s="330">
        <v>0</v>
      </c>
      <c r="BK236" s="328">
        <v>181</v>
      </c>
      <c r="BL236" s="323">
        <v>0</v>
      </c>
      <c r="BM236" s="323">
        <v>22</v>
      </c>
      <c r="BN236" s="323">
        <v>13</v>
      </c>
      <c r="BO236" s="323">
        <v>8</v>
      </c>
      <c r="BP236" s="323">
        <v>8</v>
      </c>
      <c r="BQ236" s="323">
        <v>6</v>
      </c>
      <c r="BR236" s="323">
        <v>7</v>
      </c>
      <c r="BS236" s="323">
        <v>9</v>
      </c>
      <c r="BT236" s="323">
        <v>1</v>
      </c>
      <c r="BU236" s="323">
        <v>74</v>
      </c>
      <c r="BV236" s="329" t="s">
        <v>934</v>
      </c>
      <c r="BW236" s="330">
        <v>39</v>
      </c>
      <c r="BX236" s="330">
        <v>40</v>
      </c>
      <c r="BY236" s="330">
        <v>46</v>
      </c>
      <c r="BZ236" s="330">
        <v>28</v>
      </c>
      <c r="CA236" s="330">
        <v>37</v>
      </c>
      <c r="CB236" s="330">
        <v>15</v>
      </c>
      <c r="CC236" s="330">
        <v>16</v>
      </c>
      <c r="CD236" s="330">
        <v>2</v>
      </c>
      <c r="CE236" s="328">
        <v>223</v>
      </c>
      <c r="CF236" s="322" t="s">
        <v>934</v>
      </c>
      <c r="CG236" s="323">
        <v>57</v>
      </c>
      <c r="CH236" s="323">
        <v>74</v>
      </c>
      <c r="CI236" s="323">
        <v>49</v>
      </c>
      <c r="CJ236" s="323">
        <v>50</v>
      </c>
      <c r="CK236" s="323">
        <v>27</v>
      </c>
      <c r="CL236" s="323">
        <v>15</v>
      </c>
      <c r="CM236" s="323">
        <v>20</v>
      </c>
      <c r="CN236" s="323">
        <v>1</v>
      </c>
      <c r="CO236" s="323">
        <v>293</v>
      </c>
      <c r="CP236" s="329" t="s">
        <v>934</v>
      </c>
      <c r="CQ236" s="330">
        <v>0</v>
      </c>
      <c r="CR236" s="330">
        <v>0</v>
      </c>
      <c r="CS236" s="330">
        <v>0</v>
      </c>
      <c r="CT236" s="330">
        <v>0</v>
      </c>
      <c r="CU236" s="330">
        <v>0</v>
      </c>
      <c r="CV236" s="330">
        <v>0</v>
      </c>
      <c r="CW236" s="330">
        <v>0</v>
      </c>
      <c r="CX236" s="330">
        <v>0</v>
      </c>
      <c r="CY236" s="328">
        <v>0</v>
      </c>
      <c r="CZ236" s="322" t="s">
        <v>934</v>
      </c>
      <c r="DA236" s="323">
        <v>0</v>
      </c>
      <c r="DB236" s="323">
        <v>0</v>
      </c>
      <c r="DC236" s="323">
        <v>0</v>
      </c>
      <c r="DD236" s="323">
        <v>0</v>
      </c>
      <c r="DE236" s="323">
        <v>0</v>
      </c>
      <c r="DF236" s="323">
        <v>0</v>
      </c>
      <c r="DG236" s="323">
        <v>0</v>
      </c>
      <c r="DH236" s="323">
        <v>0</v>
      </c>
      <c r="DI236" s="323">
        <v>0</v>
      </c>
      <c r="DJ236" s="337">
        <v>0</v>
      </c>
      <c r="DK236" s="644">
        <v>22288.4</v>
      </c>
      <c r="DL236" s="614">
        <v>3359</v>
      </c>
      <c r="DM236" s="614">
        <v>4677</v>
      </c>
      <c r="DN236" s="614">
        <v>4751</v>
      </c>
      <c r="DO236" s="614">
        <v>4415</v>
      </c>
      <c r="DP236" s="614">
        <v>3231</v>
      </c>
      <c r="DQ236" s="614">
        <v>2031</v>
      </c>
      <c r="DR236" s="614">
        <v>1856</v>
      </c>
      <c r="DS236" s="615">
        <v>192</v>
      </c>
      <c r="DT236" s="607">
        <f t="shared" si="3"/>
        <v>24512</v>
      </c>
      <c r="DU236" s="342"/>
      <c r="EC236" s="646"/>
      <c r="EF236" s="126"/>
      <c r="EG236" s="124"/>
    </row>
    <row r="237" spans="1:137" ht="15">
      <c r="A237" s="22">
        <v>229</v>
      </c>
      <c r="B237" s="23" t="s">
        <v>599</v>
      </c>
      <c r="C237" s="24" t="s">
        <v>600</v>
      </c>
      <c r="D237" s="613"/>
      <c r="E237" s="640">
        <v>566</v>
      </c>
      <c r="F237" s="640">
        <v>2024</v>
      </c>
      <c r="G237" s="629">
        <v>11801</v>
      </c>
      <c r="H237" s="629">
        <v>19580</v>
      </c>
      <c r="I237" s="629">
        <v>19745</v>
      </c>
      <c r="J237" s="629">
        <v>11392</v>
      </c>
      <c r="K237" s="629">
        <v>12115</v>
      </c>
      <c r="L237" s="629">
        <v>2901</v>
      </c>
      <c r="M237" s="633">
        <v>80124</v>
      </c>
      <c r="N237" s="322"/>
      <c r="O237" s="323">
        <v>39</v>
      </c>
      <c r="P237" s="323">
        <v>70</v>
      </c>
      <c r="Q237" s="323">
        <v>332</v>
      </c>
      <c r="R237" s="323">
        <v>468</v>
      </c>
      <c r="S237" s="323">
        <v>369</v>
      </c>
      <c r="T237" s="323">
        <v>192</v>
      </c>
      <c r="U237" s="323">
        <v>185</v>
      </c>
      <c r="V237" s="323">
        <v>75</v>
      </c>
      <c r="W237" s="323">
        <v>1730</v>
      </c>
      <c r="X237" s="329" t="s">
        <v>934</v>
      </c>
      <c r="Y237" s="330">
        <v>0</v>
      </c>
      <c r="Z237" s="330">
        <v>0</v>
      </c>
      <c r="AA237" s="330">
        <v>0</v>
      </c>
      <c r="AB237" s="330">
        <v>0</v>
      </c>
      <c r="AC237" s="330">
        <v>0</v>
      </c>
      <c r="AD237" s="330">
        <v>0</v>
      </c>
      <c r="AE237" s="330">
        <v>0</v>
      </c>
      <c r="AF237" s="330">
        <v>0</v>
      </c>
      <c r="AG237" s="328">
        <v>0</v>
      </c>
      <c r="AH237" s="329" t="s">
        <v>934</v>
      </c>
      <c r="AI237" s="184">
        <v>2</v>
      </c>
      <c r="AJ237" s="184">
        <v>1</v>
      </c>
      <c r="AK237" s="184">
        <v>38</v>
      </c>
      <c r="AL237" s="184">
        <v>69</v>
      </c>
      <c r="AM237" s="184">
        <v>96</v>
      </c>
      <c r="AN237" s="184">
        <v>58</v>
      </c>
      <c r="AO237" s="184">
        <v>58</v>
      </c>
      <c r="AP237" s="184">
        <v>26</v>
      </c>
      <c r="AQ237" s="336">
        <v>348</v>
      </c>
      <c r="AR237" s="323">
        <v>1</v>
      </c>
      <c r="AS237" s="323">
        <v>307</v>
      </c>
      <c r="AT237" s="323">
        <v>1123</v>
      </c>
      <c r="AU237" s="323">
        <v>5837</v>
      </c>
      <c r="AV237" s="323">
        <v>7301</v>
      </c>
      <c r="AW237" s="323">
        <v>5936</v>
      </c>
      <c r="AX237" s="323">
        <v>2783</v>
      </c>
      <c r="AY237" s="323">
        <v>1866</v>
      </c>
      <c r="AZ237" s="323">
        <v>239</v>
      </c>
      <c r="BA237" s="323">
        <v>25393</v>
      </c>
      <c r="BB237" s="331">
        <v>0</v>
      </c>
      <c r="BC237" s="330">
        <v>1</v>
      </c>
      <c r="BD237" s="330">
        <v>6</v>
      </c>
      <c r="BE237" s="330">
        <v>72</v>
      </c>
      <c r="BF237" s="330">
        <v>116</v>
      </c>
      <c r="BG237" s="330">
        <v>111</v>
      </c>
      <c r="BH237" s="330">
        <v>60</v>
      </c>
      <c r="BI237" s="330">
        <v>66</v>
      </c>
      <c r="BJ237" s="330">
        <v>13</v>
      </c>
      <c r="BK237" s="328">
        <v>445</v>
      </c>
      <c r="BL237" s="323">
        <v>0</v>
      </c>
      <c r="BM237" s="323">
        <v>0</v>
      </c>
      <c r="BN237" s="323">
        <v>0</v>
      </c>
      <c r="BO237" s="323">
        <v>2</v>
      </c>
      <c r="BP237" s="323">
        <v>5</v>
      </c>
      <c r="BQ237" s="323">
        <v>6</v>
      </c>
      <c r="BR237" s="323">
        <v>15</v>
      </c>
      <c r="BS237" s="323">
        <v>29</v>
      </c>
      <c r="BT237" s="323">
        <v>12</v>
      </c>
      <c r="BU237" s="323">
        <v>69</v>
      </c>
      <c r="BV237" s="329" t="s">
        <v>934</v>
      </c>
      <c r="BW237" s="330">
        <v>13</v>
      </c>
      <c r="BX237" s="330">
        <v>31</v>
      </c>
      <c r="BY237" s="330">
        <v>152</v>
      </c>
      <c r="BZ237" s="330">
        <v>284</v>
      </c>
      <c r="CA237" s="330">
        <v>310</v>
      </c>
      <c r="CB237" s="330">
        <v>158</v>
      </c>
      <c r="CC237" s="330">
        <v>152</v>
      </c>
      <c r="CD237" s="330">
        <v>33</v>
      </c>
      <c r="CE237" s="328">
        <v>1133</v>
      </c>
      <c r="CF237" s="322" t="s">
        <v>934</v>
      </c>
      <c r="CG237" s="323">
        <v>0</v>
      </c>
      <c r="CH237" s="323">
        <v>0</v>
      </c>
      <c r="CI237" s="323">
        <v>0</v>
      </c>
      <c r="CJ237" s="323">
        <v>0</v>
      </c>
      <c r="CK237" s="323">
        <v>0</v>
      </c>
      <c r="CL237" s="323">
        <v>0</v>
      </c>
      <c r="CM237" s="323">
        <v>0</v>
      </c>
      <c r="CN237" s="323">
        <v>0</v>
      </c>
      <c r="CO237" s="323">
        <v>0</v>
      </c>
      <c r="CP237" s="329" t="s">
        <v>934</v>
      </c>
      <c r="CQ237" s="330">
        <v>34</v>
      </c>
      <c r="CR237" s="330">
        <v>39</v>
      </c>
      <c r="CS237" s="330">
        <v>102</v>
      </c>
      <c r="CT237" s="330">
        <v>178</v>
      </c>
      <c r="CU237" s="330">
        <v>145</v>
      </c>
      <c r="CV237" s="330">
        <v>61</v>
      </c>
      <c r="CW237" s="330">
        <v>90</v>
      </c>
      <c r="CX237" s="330">
        <v>38</v>
      </c>
      <c r="CY237" s="328">
        <v>687</v>
      </c>
      <c r="CZ237" s="322" t="s">
        <v>934</v>
      </c>
      <c r="DA237" s="323">
        <v>0</v>
      </c>
      <c r="DB237" s="323">
        <v>0</v>
      </c>
      <c r="DC237" s="323">
        <v>0</v>
      </c>
      <c r="DD237" s="323">
        <v>0</v>
      </c>
      <c r="DE237" s="323">
        <v>0</v>
      </c>
      <c r="DF237" s="323">
        <v>0</v>
      </c>
      <c r="DG237" s="323">
        <v>0</v>
      </c>
      <c r="DH237" s="323">
        <v>0</v>
      </c>
      <c r="DI237" s="323">
        <v>0</v>
      </c>
      <c r="DJ237" s="337">
        <v>49.1</v>
      </c>
      <c r="DK237" s="644">
        <v>88567</v>
      </c>
      <c r="DL237" s="616">
        <v>513</v>
      </c>
      <c r="DM237" s="616">
        <v>2055</v>
      </c>
      <c r="DN237" s="616">
        <v>11927</v>
      </c>
      <c r="DO237" s="616">
        <v>19609</v>
      </c>
      <c r="DP237" s="616">
        <v>19680</v>
      </c>
      <c r="DQ237" s="616">
        <v>11477</v>
      </c>
      <c r="DR237" s="616">
        <v>12164</v>
      </c>
      <c r="DS237" s="617">
        <v>2977</v>
      </c>
      <c r="DT237" s="608">
        <f t="shared" si="3"/>
        <v>80402</v>
      </c>
      <c r="DU237" s="342"/>
      <c r="EC237" s="646"/>
      <c r="EF237" s="125"/>
      <c r="EG237" s="128"/>
    </row>
    <row r="238" spans="1:137" ht="15">
      <c r="A238" s="22">
        <v>230</v>
      </c>
      <c r="B238" s="23" t="s">
        <v>601</v>
      </c>
      <c r="C238" s="24" t="s">
        <v>602</v>
      </c>
      <c r="D238" s="613"/>
      <c r="E238" s="626">
        <v>3170</v>
      </c>
      <c r="F238" s="626">
        <v>4579</v>
      </c>
      <c r="G238" s="626">
        <v>5092</v>
      </c>
      <c r="H238" s="626">
        <v>3245</v>
      </c>
      <c r="I238" s="626">
        <v>2994</v>
      </c>
      <c r="J238" s="626">
        <v>1529</v>
      </c>
      <c r="K238" s="626">
        <v>795</v>
      </c>
      <c r="L238" s="626">
        <v>77</v>
      </c>
      <c r="M238" s="627">
        <v>21481</v>
      </c>
      <c r="N238" s="322"/>
      <c r="O238" s="323">
        <v>445</v>
      </c>
      <c r="P238" s="323">
        <v>469</v>
      </c>
      <c r="Q238" s="323">
        <v>869</v>
      </c>
      <c r="R238" s="323">
        <v>122</v>
      </c>
      <c r="S238" s="323">
        <v>87</v>
      </c>
      <c r="T238" s="323">
        <v>41</v>
      </c>
      <c r="U238" s="323">
        <v>21</v>
      </c>
      <c r="V238" s="323">
        <v>16</v>
      </c>
      <c r="W238" s="323">
        <v>2070</v>
      </c>
      <c r="X238" s="329" t="s">
        <v>934</v>
      </c>
      <c r="Y238" s="330">
        <v>1</v>
      </c>
      <c r="Z238" s="330">
        <v>0</v>
      </c>
      <c r="AA238" s="330">
        <v>0</v>
      </c>
      <c r="AB238" s="330">
        <v>1</v>
      </c>
      <c r="AC238" s="330">
        <v>0</v>
      </c>
      <c r="AD238" s="330">
        <v>0</v>
      </c>
      <c r="AE238" s="330">
        <v>0</v>
      </c>
      <c r="AF238" s="330">
        <v>0</v>
      </c>
      <c r="AG238" s="328">
        <v>2</v>
      </c>
      <c r="AH238" s="329" t="s">
        <v>934</v>
      </c>
      <c r="AI238" s="184">
        <v>3</v>
      </c>
      <c r="AJ238" s="184">
        <v>13</v>
      </c>
      <c r="AK238" s="184">
        <v>16</v>
      </c>
      <c r="AL238" s="184">
        <v>13</v>
      </c>
      <c r="AM238" s="184">
        <v>24</v>
      </c>
      <c r="AN238" s="184">
        <v>11</v>
      </c>
      <c r="AO238" s="184">
        <v>5</v>
      </c>
      <c r="AP238" s="184">
        <v>9</v>
      </c>
      <c r="AQ238" s="336">
        <v>94</v>
      </c>
      <c r="AR238" s="323">
        <v>0</v>
      </c>
      <c r="AS238" s="323">
        <v>1320</v>
      </c>
      <c r="AT238" s="323">
        <v>1404</v>
      </c>
      <c r="AU238" s="323">
        <v>1247</v>
      </c>
      <c r="AV238" s="323">
        <v>719</v>
      </c>
      <c r="AW238" s="323">
        <v>527</v>
      </c>
      <c r="AX238" s="323">
        <v>223</v>
      </c>
      <c r="AY238" s="323">
        <v>92</v>
      </c>
      <c r="AZ238" s="323">
        <v>6</v>
      </c>
      <c r="BA238" s="323">
        <v>5538</v>
      </c>
      <c r="BB238" s="331">
        <v>0</v>
      </c>
      <c r="BC238" s="330">
        <v>7</v>
      </c>
      <c r="BD238" s="330">
        <v>20</v>
      </c>
      <c r="BE238" s="330">
        <v>28</v>
      </c>
      <c r="BF238" s="330">
        <v>14</v>
      </c>
      <c r="BG238" s="330">
        <v>4</v>
      </c>
      <c r="BH238" s="330">
        <v>7</v>
      </c>
      <c r="BI238" s="330">
        <v>2</v>
      </c>
      <c r="BJ238" s="330">
        <v>0</v>
      </c>
      <c r="BK238" s="328">
        <v>82</v>
      </c>
      <c r="BL238" s="323">
        <v>0</v>
      </c>
      <c r="BM238" s="323">
        <v>0</v>
      </c>
      <c r="BN238" s="323">
        <v>0</v>
      </c>
      <c r="BO238" s="323">
        <v>0</v>
      </c>
      <c r="BP238" s="323">
        <v>5</v>
      </c>
      <c r="BQ238" s="323">
        <v>3</v>
      </c>
      <c r="BR238" s="323">
        <v>1</v>
      </c>
      <c r="BS238" s="323">
        <v>1</v>
      </c>
      <c r="BT238" s="323">
        <v>10</v>
      </c>
      <c r="BU238" s="323">
        <v>20</v>
      </c>
      <c r="BV238" s="329" t="s">
        <v>934</v>
      </c>
      <c r="BW238" s="330">
        <v>75</v>
      </c>
      <c r="BX238" s="330">
        <v>174</v>
      </c>
      <c r="BY238" s="330">
        <v>233</v>
      </c>
      <c r="BZ238" s="330">
        <v>204</v>
      </c>
      <c r="CA238" s="330">
        <v>157</v>
      </c>
      <c r="CB238" s="330">
        <v>51</v>
      </c>
      <c r="CC238" s="330">
        <v>29</v>
      </c>
      <c r="CD238" s="330">
        <v>1</v>
      </c>
      <c r="CE238" s="328">
        <v>924</v>
      </c>
      <c r="CF238" s="322" t="s">
        <v>934</v>
      </c>
      <c r="CG238" s="323">
        <v>0</v>
      </c>
      <c r="CH238" s="323">
        <v>0</v>
      </c>
      <c r="CI238" s="323">
        <v>0</v>
      </c>
      <c r="CJ238" s="323">
        <v>0</v>
      </c>
      <c r="CK238" s="323">
        <v>0</v>
      </c>
      <c r="CL238" s="323">
        <v>0</v>
      </c>
      <c r="CM238" s="323">
        <v>0</v>
      </c>
      <c r="CN238" s="323">
        <v>0</v>
      </c>
      <c r="CO238" s="323">
        <v>0</v>
      </c>
      <c r="CP238" s="329" t="s">
        <v>934</v>
      </c>
      <c r="CQ238" s="330">
        <v>57</v>
      </c>
      <c r="CR238" s="330">
        <v>49</v>
      </c>
      <c r="CS238" s="330">
        <v>72</v>
      </c>
      <c r="CT238" s="330">
        <v>38</v>
      </c>
      <c r="CU238" s="330">
        <v>40</v>
      </c>
      <c r="CV238" s="330">
        <v>23</v>
      </c>
      <c r="CW238" s="330">
        <v>12</v>
      </c>
      <c r="CX238" s="330">
        <v>0</v>
      </c>
      <c r="CY238" s="328">
        <v>291</v>
      </c>
      <c r="CZ238" s="322" t="s">
        <v>934</v>
      </c>
      <c r="DA238" s="323">
        <v>0</v>
      </c>
      <c r="DB238" s="323">
        <v>0</v>
      </c>
      <c r="DC238" s="323">
        <v>0</v>
      </c>
      <c r="DD238" s="323">
        <v>0</v>
      </c>
      <c r="DE238" s="323">
        <v>0</v>
      </c>
      <c r="DF238" s="323">
        <v>0</v>
      </c>
      <c r="DG238" s="323">
        <v>0</v>
      </c>
      <c r="DH238" s="323">
        <v>0</v>
      </c>
      <c r="DI238" s="323">
        <v>0</v>
      </c>
      <c r="DJ238" s="337">
        <v>1281.8</v>
      </c>
      <c r="DK238" s="644">
        <v>18609.6</v>
      </c>
      <c r="DL238" s="614">
        <v>3212</v>
      </c>
      <c r="DM238" s="614">
        <v>4617</v>
      </c>
      <c r="DN238" s="614">
        <v>5126</v>
      </c>
      <c r="DO238" s="614">
        <v>3279</v>
      </c>
      <c r="DP238" s="614">
        <v>3016</v>
      </c>
      <c r="DQ238" s="614">
        <v>1551</v>
      </c>
      <c r="DR238" s="614">
        <v>796</v>
      </c>
      <c r="DS238" s="615">
        <v>100</v>
      </c>
      <c r="DT238" s="607">
        <f t="shared" si="3"/>
        <v>21697</v>
      </c>
      <c r="DU238" s="342"/>
      <c r="EC238" s="646"/>
      <c r="EF238" s="123"/>
      <c r="EG238" s="124"/>
    </row>
    <row r="239" spans="1:137" ht="15">
      <c r="A239" s="22">
        <v>231</v>
      </c>
      <c r="B239" s="23" t="s">
        <v>603</v>
      </c>
      <c r="C239" s="24" t="s">
        <v>604</v>
      </c>
      <c r="D239" s="613"/>
      <c r="E239" s="626">
        <v>51550</v>
      </c>
      <c r="F239" s="626">
        <v>13609</v>
      </c>
      <c r="G239" s="626">
        <v>10867</v>
      </c>
      <c r="H239" s="626">
        <v>7169</v>
      </c>
      <c r="I239" s="626">
        <v>3950</v>
      </c>
      <c r="J239" s="626">
        <v>1512</v>
      </c>
      <c r="K239" s="626">
        <v>841</v>
      </c>
      <c r="L239" s="626">
        <v>52</v>
      </c>
      <c r="M239" s="627">
        <v>89550</v>
      </c>
      <c r="N239" s="322"/>
      <c r="O239" s="323">
        <v>1533</v>
      </c>
      <c r="P239" s="323">
        <v>232</v>
      </c>
      <c r="Q239" s="323">
        <v>166</v>
      </c>
      <c r="R239" s="323">
        <v>120</v>
      </c>
      <c r="S239" s="323">
        <v>63</v>
      </c>
      <c r="T239" s="323">
        <v>25</v>
      </c>
      <c r="U239" s="323">
        <v>11</v>
      </c>
      <c r="V239" s="323">
        <v>4</v>
      </c>
      <c r="W239" s="323">
        <v>2154</v>
      </c>
      <c r="X239" s="329" t="s">
        <v>934</v>
      </c>
      <c r="Y239" s="330">
        <v>0</v>
      </c>
      <c r="Z239" s="330">
        <v>0</v>
      </c>
      <c r="AA239" s="330">
        <v>0</v>
      </c>
      <c r="AB239" s="330">
        <v>0</v>
      </c>
      <c r="AC239" s="330">
        <v>0</v>
      </c>
      <c r="AD239" s="330">
        <v>0</v>
      </c>
      <c r="AE239" s="330">
        <v>0</v>
      </c>
      <c r="AF239" s="330">
        <v>0</v>
      </c>
      <c r="AG239" s="328">
        <v>0</v>
      </c>
      <c r="AH239" s="329" t="s">
        <v>934</v>
      </c>
      <c r="AI239" s="184">
        <v>74</v>
      </c>
      <c r="AJ239" s="184">
        <v>70</v>
      </c>
      <c r="AK239" s="184">
        <v>60</v>
      </c>
      <c r="AL239" s="184">
        <v>56</v>
      </c>
      <c r="AM239" s="184">
        <v>36</v>
      </c>
      <c r="AN239" s="184">
        <v>24</v>
      </c>
      <c r="AO239" s="184">
        <v>35</v>
      </c>
      <c r="AP239" s="184">
        <v>12</v>
      </c>
      <c r="AQ239" s="336">
        <v>367</v>
      </c>
      <c r="AR239" s="323">
        <v>13</v>
      </c>
      <c r="AS239" s="323">
        <v>21165</v>
      </c>
      <c r="AT239" s="323">
        <v>3766</v>
      </c>
      <c r="AU239" s="323">
        <v>2379</v>
      </c>
      <c r="AV239" s="323">
        <v>1308</v>
      </c>
      <c r="AW239" s="323">
        <v>528</v>
      </c>
      <c r="AX239" s="323">
        <v>172</v>
      </c>
      <c r="AY239" s="323">
        <v>82</v>
      </c>
      <c r="AZ239" s="323">
        <v>1</v>
      </c>
      <c r="BA239" s="323">
        <v>29414</v>
      </c>
      <c r="BB239" s="331">
        <v>1</v>
      </c>
      <c r="BC239" s="330">
        <v>279</v>
      </c>
      <c r="BD239" s="330">
        <v>96</v>
      </c>
      <c r="BE239" s="330">
        <v>84</v>
      </c>
      <c r="BF239" s="330">
        <v>49</v>
      </c>
      <c r="BG239" s="330">
        <v>25</v>
      </c>
      <c r="BH239" s="330">
        <v>7</v>
      </c>
      <c r="BI239" s="330">
        <v>5</v>
      </c>
      <c r="BJ239" s="330">
        <v>0</v>
      </c>
      <c r="BK239" s="328">
        <v>546</v>
      </c>
      <c r="BL239" s="323">
        <v>0</v>
      </c>
      <c r="BM239" s="323">
        <v>27</v>
      </c>
      <c r="BN239" s="323">
        <v>5</v>
      </c>
      <c r="BO239" s="323">
        <v>7</v>
      </c>
      <c r="BP239" s="323">
        <v>7</v>
      </c>
      <c r="BQ239" s="323">
        <v>5</v>
      </c>
      <c r="BR239" s="323">
        <v>30</v>
      </c>
      <c r="BS239" s="323">
        <v>16</v>
      </c>
      <c r="BT239" s="323">
        <v>10</v>
      </c>
      <c r="BU239" s="323">
        <v>107</v>
      </c>
      <c r="BV239" s="329" t="s">
        <v>934</v>
      </c>
      <c r="BW239" s="330">
        <v>196</v>
      </c>
      <c r="BX239" s="330">
        <v>83</v>
      </c>
      <c r="BY239" s="330">
        <v>34</v>
      </c>
      <c r="BZ239" s="330">
        <v>22</v>
      </c>
      <c r="CA239" s="330">
        <v>10</v>
      </c>
      <c r="CB239" s="330">
        <v>4</v>
      </c>
      <c r="CC239" s="330">
        <v>5</v>
      </c>
      <c r="CD239" s="330">
        <v>0</v>
      </c>
      <c r="CE239" s="328">
        <v>354</v>
      </c>
      <c r="CF239" s="322" t="s">
        <v>934</v>
      </c>
      <c r="CG239" s="323">
        <v>1510</v>
      </c>
      <c r="CH239" s="323">
        <v>174</v>
      </c>
      <c r="CI239" s="323">
        <v>126</v>
      </c>
      <c r="CJ239" s="323">
        <v>82</v>
      </c>
      <c r="CK239" s="323">
        <v>38</v>
      </c>
      <c r="CL239" s="323">
        <v>23</v>
      </c>
      <c r="CM239" s="323">
        <v>14</v>
      </c>
      <c r="CN239" s="323">
        <v>4</v>
      </c>
      <c r="CO239" s="323">
        <v>1971</v>
      </c>
      <c r="CP239" s="329" t="s">
        <v>934</v>
      </c>
      <c r="CQ239" s="330">
        <v>0</v>
      </c>
      <c r="CR239" s="330">
        <v>0</v>
      </c>
      <c r="CS239" s="330">
        <v>0</v>
      </c>
      <c r="CT239" s="330">
        <v>0</v>
      </c>
      <c r="CU239" s="330">
        <v>0</v>
      </c>
      <c r="CV239" s="330">
        <v>0</v>
      </c>
      <c r="CW239" s="330">
        <v>0</v>
      </c>
      <c r="CX239" s="330">
        <v>0</v>
      </c>
      <c r="CY239" s="328">
        <v>0</v>
      </c>
      <c r="CZ239" s="322" t="s">
        <v>934</v>
      </c>
      <c r="DA239" s="323">
        <v>0</v>
      </c>
      <c r="DB239" s="323">
        <v>0</v>
      </c>
      <c r="DC239" s="323">
        <v>0</v>
      </c>
      <c r="DD239" s="323">
        <v>0</v>
      </c>
      <c r="DE239" s="323">
        <v>0</v>
      </c>
      <c r="DF239" s="323">
        <v>0</v>
      </c>
      <c r="DG239" s="323">
        <v>0</v>
      </c>
      <c r="DH239" s="323">
        <v>0</v>
      </c>
      <c r="DI239" s="323">
        <v>0</v>
      </c>
      <c r="DJ239" s="337">
        <v>0</v>
      </c>
      <c r="DK239" s="644">
        <v>62224.3</v>
      </c>
      <c r="DL239" s="614">
        <v>51363</v>
      </c>
      <c r="DM239" s="614">
        <v>13825</v>
      </c>
      <c r="DN239" s="614">
        <v>10957</v>
      </c>
      <c r="DO239" s="614">
        <v>7219</v>
      </c>
      <c r="DP239" s="614">
        <v>3981</v>
      </c>
      <c r="DQ239" s="614">
        <v>1516</v>
      </c>
      <c r="DR239" s="614">
        <v>848</v>
      </c>
      <c r="DS239" s="615">
        <v>54</v>
      </c>
      <c r="DT239" s="607">
        <f t="shared" si="3"/>
        <v>89763</v>
      </c>
      <c r="DU239" s="342"/>
      <c r="EC239" s="646"/>
      <c r="EF239" s="123"/>
      <c r="EG239" s="124"/>
    </row>
    <row r="240" spans="1:137" ht="15">
      <c r="A240" s="22">
        <v>232</v>
      </c>
      <c r="B240" s="23" t="s">
        <v>605</v>
      </c>
      <c r="C240" s="24" t="s">
        <v>606</v>
      </c>
      <c r="D240" s="613"/>
      <c r="E240" s="628">
        <v>1331</v>
      </c>
      <c r="F240" s="628">
        <v>3196</v>
      </c>
      <c r="G240" s="628">
        <v>11335</v>
      </c>
      <c r="H240" s="628">
        <v>10069</v>
      </c>
      <c r="I240" s="628">
        <v>4691</v>
      </c>
      <c r="J240" s="628">
        <v>2084</v>
      </c>
      <c r="K240" s="628">
        <v>1096</v>
      </c>
      <c r="L240" s="628">
        <v>78</v>
      </c>
      <c r="M240" s="627">
        <v>33880</v>
      </c>
      <c r="N240" s="322"/>
      <c r="O240" s="323">
        <v>93</v>
      </c>
      <c r="P240" s="323">
        <v>123</v>
      </c>
      <c r="Q240" s="323">
        <v>189</v>
      </c>
      <c r="R240" s="323">
        <v>134</v>
      </c>
      <c r="S240" s="323">
        <v>39</v>
      </c>
      <c r="T240" s="323">
        <v>16</v>
      </c>
      <c r="U240" s="323">
        <v>12</v>
      </c>
      <c r="V240" s="323">
        <v>2</v>
      </c>
      <c r="W240" s="323">
        <v>608</v>
      </c>
      <c r="X240" s="329" t="s">
        <v>934</v>
      </c>
      <c r="Y240" s="330">
        <v>2</v>
      </c>
      <c r="Z240" s="330">
        <v>1</v>
      </c>
      <c r="AA240" s="330">
        <v>2</v>
      </c>
      <c r="AB240" s="330">
        <v>0</v>
      </c>
      <c r="AC240" s="330">
        <v>1</v>
      </c>
      <c r="AD240" s="330">
        <v>1</v>
      </c>
      <c r="AE240" s="330">
        <v>0</v>
      </c>
      <c r="AF240" s="330">
        <v>1</v>
      </c>
      <c r="AG240" s="328">
        <v>8</v>
      </c>
      <c r="AH240" s="329" t="s">
        <v>934</v>
      </c>
      <c r="AI240" s="184">
        <v>3</v>
      </c>
      <c r="AJ240" s="184">
        <v>6</v>
      </c>
      <c r="AK240" s="184">
        <v>37</v>
      </c>
      <c r="AL240" s="184">
        <v>51</v>
      </c>
      <c r="AM240" s="184">
        <v>23</v>
      </c>
      <c r="AN240" s="184">
        <v>21</v>
      </c>
      <c r="AO240" s="184">
        <v>9</v>
      </c>
      <c r="AP240" s="184">
        <v>5</v>
      </c>
      <c r="AQ240" s="336">
        <v>155</v>
      </c>
      <c r="AR240" s="323">
        <v>2</v>
      </c>
      <c r="AS240" s="323">
        <v>782</v>
      </c>
      <c r="AT240" s="323">
        <v>1825</v>
      </c>
      <c r="AU240" s="323">
        <v>3574</v>
      </c>
      <c r="AV240" s="323">
        <v>2168</v>
      </c>
      <c r="AW240" s="323">
        <v>673</v>
      </c>
      <c r="AX240" s="323">
        <v>234</v>
      </c>
      <c r="AY240" s="323">
        <v>89</v>
      </c>
      <c r="AZ240" s="323">
        <v>10</v>
      </c>
      <c r="BA240" s="323">
        <v>9357</v>
      </c>
      <c r="BB240" s="331">
        <v>0</v>
      </c>
      <c r="BC240" s="330">
        <v>2</v>
      </c>
      <c r="BD240" s="330">
        <v>13</v>
      </c>
      <c r="BE240" s="330">
        <v>72</v>
      </c>
      <c r="BF240" s="330">
        <v>42</v>
      </c>
      <c r="BG240" s="330">
        <v>25</v>
      </c>
      <c r="BH240" s="330">
        <v>7</v>
      </c>
      <c r="BI240" s="330">
        <v>6</v>
      </c>
      <c r="BJ240" s="330">
        <v>0</v>
      </c>
      <c r="BK240" s="328">
        <v>167</v>
      </c>
      <c r="BL240" s="323">
        <v>0</v>
      </c>
      <c r="BM240" s="323">
        <v>0</v>
      </c>
      <c r="BN240" s="323">
        <v>2</v>
      </c>
      <c r="BO240" s="323">
        <v>7</v>
      </c>
      <c r="BP240" s="323">
        <v>2</v>
      </c>
      <c r="BQ240" s="323">
        <v>2</v>
      </c>
      <c r="BR240" s="323">
        <v>5</v>
      </c>
      <c r="BS240" s="323">
        <v>8</v>
      </c>
      <c r="BT240" s="323">
        <v>2</v>
      </c>
      <c r="BU240" s="323">
        <v>28</v>
      </c>
      <c r="BV240" s="329" t="s">
        <v>934</v>
      </c>
      <c r="BW240" s="330">
        <v>5</v>
      </c>
      <c r="BX240" s="330">
        <v>2</v>
      </c>
      <c r="BY240" s="330">
        <v>7</v>
      </c>
      <c r="BZ240" s="330">
        <v>8</v>
      </c>
      <c r="CA240" s="330">
        <v>7</v>
      </c>
      <c r="CB240" s="330">
        <v>2</v>
      </c>
      <c r="CC240" s="330">
        <v>3</v>
      </c>
      <c r="CD240" s="330">
        <v>2</v>
      </c>
      <c r="CE240" s="328">
        <v>36</v>
      </c>
      <c r="CF240" s="322" t="s">
        <v>934</v>
      </c>
      <c r="CG240" s="323">
        <v>71</v>
      </c>
      <c r="CH240" s="323">
        <v>95</v>
      </c>
      <c r="CI240" s="323">
        <v>135</v>
      </c>
      <c r="CJ240" s="323">
        <v>66</v>
      </c>
      <c r="CK240" s="323">
        <v>27</v>
      </c>
      <c r="CL240" s="323">
        <v>16</v>
      </c>
      <c r="CM240" s="323">
        <v>18</v>
      </c>
      <c r="CN240" s="323">
        <v>2</v>
      </c>
      <c r="CO240" s="323">
        <v>430</v>
      </c>
      <c r="CP240" s="329" t="s">
        <v>934</v>
      </c>
      <c r="CQ240" s="330">
        <v>0</v>
      </c>
      <c r="CR240" s="330">
        <v>0</v>
      </c>
      <c r="CS240" s="330">
        <v>0</v>
      </c>
      <c r="CT240" s="330">
        <v>0</v>
      </c>
      <c r="CU240" s="330">
        <v>0</v>
      </c>
      <c r="CV240" s="330">
        <v>0</v>
      </c>
      <c r="CW240" s="330">
        <v>0</v>
      </c>
      <c r="CX240" s="330">
        <v>0</v>
      </c>
      <c r="CY240" s="328">
        <v>0</v>
      </c>
      <c r="CZ240" s="322" t="s">
        <v>934</v>
      </c>
      <c r="DA240" s="323">
        <v>0</v>
      </c>
      <c r="DB240" s="323">
        <v>0</v>
      </c>
      <c r="DC240" s="323">
        <v>0</v>
      </c>
      <c r="DD240" s="323">
        <v>0</v>
      </c>
      <c r="DE240" s="323">
        <v>0</v>
      </c>
      <c r="DF240" s="323">
        <v>0</v>
      </c>
      <c r="DG240" s="323">
        <v>0</v>
      </c>
      <c r="DH240" s="323">
        <v>0</v>
      </c>
      <c r="DI240" s="323">
        <v>0</v>
      </c>
      <c r="DJ240" s="337">
        <v>0</v>
      </c>
      <c r="DK240" s="644">
        <v>31224.1</v>
      </c>
      <c r="DL240" s="614">
        <v>1337</v>
      </c>
      <c r="DM240" s="614">
        <v>3362</v>
      </c>
      <c r="DN240" s="614">
        <v>11369</v>
      </c>
      <c r="DO240" s="614">
        <v>10123</v>
      </c>
      <c r="DP240" s="614">
        <v>4723</v>
      </c>
      <c r="DQ240" s="614">
        <v>2105</v>
      </c>
      <c r="DR240" s="614">
        <v>1098</v>
      </c>
      <c r="DS240" s="615">
        <v>78</v>
      </c>
      <c r="DT240" s="607">
        <f t="shared" si="3"/>
        <v>34195</v>
      </c>
      <c r="DU240" s="342"/>
      <c r="EC240" s="646"/>
      <c r="EF240" s="126"/>
      <c r="EG240" s="124"/>
    </row>
    <row r="241" spans="1:137" ht="15">
      <c r="A241" s="22">
        <v>233</v>
      </c>
      <c r="B241" s="23" t="s">
        <v>607</v>
      </c>
      <c r="C241" s="24" t="s">
        <v>608</v>
      </c>
      <c r="D241" s="613"/>
      <c r="E241" s="628">
        <v>15671</v>
      </c>
      <c r="F241" s="628">
        <v>4548</v>
      </c>
      <c r="G241" s="628">
        <v>3707</v>
      </c>
      <c r="H241" s="628">
        <v>3153</v>
      </c>
      <c r="I241" s="628">
        <v>1785</v>
      </c>
      <c r="J241" s="628">
        <v>629</v>
      </c>
      <c r="K241" s="628">
        <v>431</v>
      </c>
      <c r="L241" s="628">
        <v>37</v>
      </c>
      <c r="M241" s="627">
        <v>29961</v>
      </c>
      <c r="N241" s="322"/>
      <c r="O241" s="323">
        <v>505</v>
      </c>
      <c r="P241" s="323">
        <v>85</v>
      </c>
      <c r="Q241" s="323">
        <v>45</v>
      </c>
      <c r="R241" s="323">
        <v>42</v>
      </c>
      <c r="S241" s="323">
        <v>24</v>
      </c>
      <c r="T241" s="323">
        <v>11</v>
      </c>
      <c r="U241" s="323">
        <v>7</v>
      </c>
      <c r="V241" s="323">
        <v>0</v>
      </c>
      <c r="W241" s="323">
        <v>719</v>
      </c>
      <c r="X241" s="329" t="s">
        <v>934</v>
      </c>
      <c r="Y241" s="330">
        <v>0</v>
      </c>
      <c r="Z241" s="330">
        <v>0</v>
      </c>
      <c r="AA241" s="330">
        <v>0</v>
      </c>
      <c r="AB241" s="330">
        <v>0</v>
      </c>
      <c r="AC241" s="330">
        <v>0</v>
      </c>
      <c r="AD241" s="330">
        <v>0</v>
      </c>
      <c r="AE241" s="330">
        <v>0</v>
      </c>
      <c r="AF241" s="330">
        <v>0</v>
      </c>
      <c r="AG241" s="328">
        <v>0</v>
      </c>
      <c r="AH241" s="329" t="s">
        <v>934</v>
      </c>
      <c r="AI241" s="184">
        <v>51</v>
      </c>
      <c r="AJ241" s="184">
        <v>43</v>
      </c>
      <c r="AK241" s="184">
        <v>41</v>
      </c>
      <c r="AL241" s="184">
        <v>31</v>
      </c>
      <c r="AM241" s="184">
        <v>21</v>
      </c>
      <c r="AN241" s="184">
        <v>10</v>
      </c>
      <c r="AO241" s="184">
        <v>13</v>
      </c>
      <c r="AP241" s="184">
        <v>8</v>
      </c>
      <c r="AQ241" s="336">
        <v>218</v>
      </c>
      <c r="AR241" s="323">
        <v>12</v>
      </c>
      <c r="AS241" s="323">
        <v>6953</v>
      </c>
      <c r="AT241" s="323">
        <v>1363</v>
      </c>
      <c r="AU241" s="323">
        <v>886</v>
      </c>
      <c r="AV241" s="323">
        <v>552</v>
      </c>
      <c r="AW241" s="323">
        <v>233</v>
      </c>
      <c r="AX241" s="323">
        <v>79</v>
      </c>
      <c r="AY241" s="323">
        <v>44</v>
      </c>
      <c r="AZ241" s="323">
        <v>4</v>
      </c>
      <c r="BA241" s="323">
        <v>10126</v>
      </c>
      <c r="BB241" s="331">
        <v>1</v>
      </c>
      <c r="BC241" s="330">
        <v>90</v>
      </c>
      <c r="BD241" s="330">
        <v>55</v>
      </c>
      <c r="BE241" s="330">
        <v>31</v>
      </c>
      <c r="BF241" s="330">
        <v>18</v>
      </c>
      <c r="BG241" s="330">
        <v>11</v>
      </c>
      <c r="BH241" s="330">
        <v>5</v>
      </c>
      <c r="BI241" s="330">
        <v>3</v>
      </c>
      <c r="BJ241" s="330">
        <v>0</v>
      </c>
      <c r="BK241" s="328">
        <v>214</v>
      </c>
      <c r="BL241" s="323">
        <v>0</v>
      </c>
      <c r="BM241" s="323">
        <v>4</v>
      </c>
      <c r="BN241" s="323">
        <v>3</v>
      </c>
      <c r="BO241" s="323">
        <v>6</v>
      </c>
      <c r="BP241" s="323">
        <v>2</v>
      </c>
      <c r="BQ241" s="323">
        <v>4</v>
      </c>
      <c r="BR241" s="323">
        <v>8</v>
      </c>
      <c r="BS241" s="323">
        <v>7</v>
      </c>
      <c r="BT241" s="323">
        <v>1</v>
      </c>
      <c r="BU241" s="323">
        <v>35</v>
      </c>
      <c r="BV241" s="329" t="s">
        <v>934</v>
      </c>
      <c r="BW241" s="330">
        <v>23</v>
      </c>
      <c r="BX241" s="330">
        <v>9</v>
      </c>
      <c r="BY241" s="330">
        <v>4</v>
      </c>
      <c r="BZ241" s="330">
        <v>6</v>
      </c>
      <c r="CA241" s="330">
        <v>6</v>
      </c>
      <c r="CB241" s="330">
        <v>3</v>
      </c>
      <c r="CC241" s="330">
        <v>0</v>
      </c>
      <c r="CD241" s="330">
        <v>0</v>
      </c>
      <c r="CE241" s="328">
        <v>51</v>
      </c>
      <c r="CF241" s="322" t="s">
        <v>934</v>
      </c>
      <c r="CG241" s="323">
        <v>491</v>
      </c>
      <c r="CH241" s="323">
        <v>106</v>
      </c>
      <c r="CI241" s="323">
        <v>60</v>
      </c>
      <c r="CJ241" s="323">
        <v>50</v>
      </c>
      <c r="CK241" s="323">
        <v>24</v>
      </c>
      <c r="CL241" s="323">
        <v>16</v>
      </c>
      <c r="CM241" s="323">
        <v>8</v>
      </c>
      <c r="CN241" s="323">
        <v>1</v>
      </c>
      <c r="CO241" s="323">
        <v>756</v>
      </c>
      <c r="CP241" s="329" t="s">
        <v>934</v>
      </c>
      <c r="CQ241" s="330">
        <v>0</v>
      </c>
      <c r="CR241" s="330">
        <v>0</v>
      </c>
      <c r="CS241" s="330">
        <v>0</v>
      </c>
      <c r="CT241" s="330">
        <v>0</v>
      </c>
      <c r="CU241" s="330">
        <v>0</v>
      </c>
      <c r="CV241" s="330">
        <v>0</v>
      </c>
      <c r="CW241" s="330">
        <v>0</v>
      </c>
      <c r="CX241" s="330">
        <v>0</v>
      </c>
      <c r="CY241" s="328">
        <v>0</v>
      </c>
      <c r="CZ241" s="322" t="s">
        <v>934</v>
      </c>
      <c r="DA241" s="323">
        <v>0</v>
      </c>
      <c r="DB241" s="323">
        <v>0</v>
      </c>
      <c r="DC241" s="323">
        <v>0</v>
      </c>
      <c r="DD241" s="323">
        <v>0</v>
      </c>
      <c r="DE241" s="323">
        <v>0</v>
      </c>
      <c r="DF241" s="323">
        <v>0</v>
      </c>
      <c r="DG241" s="323">
        <v>0</v>
      </c>
      <c r="DH241" s="323">
        <v>0</v>
      </c>
      <c r="DI241" s="323">
        <v>0</v>
      </c>
      <c r="DJ241" s="337">
        <v>0</v>
      </c>
      <c r="DK241" s="644">
        <v>21485.3</v>
      </c>
      <c r="DL241" s="614">
        <v>15702</v>
      </c>
      <c r="DM241" s="614">
        <v>4636</v>
      </c>
      <c r="DN241" s="614">
        <v>3771</v>
      </c>
      <c r="DO241" s="614">
        <v>3189</v>
      </c>
      <c r="DP241" s="614">
        <v>1814</v>
      </c>
      <c r="DQ241" s="614">
        <v>639</v>
      </c>
      <c r="DR241" s="614">
        <v>438</v>
      </c>
      <c r="DS241" s="615">
        <v>37</v>
      </c>
      <c r="DT241" s="607">
        <f t="shared" si="3"/>
        <v>30226</v>
      </c>
      <c r="DU241" s="342"/>
      <c r="EC241" s="646"/>
      <c r="EF241" s="126"/>
      <c r="EG241" s="124"/>
    </row>
    <row r="242" spans="1:137" ht="15">
      <c r="A242" s="22">
        <v>234</v>
      </c>
      <c r="B242" s="23" t="s">
        <v>609</v>
      </c>
      <c r="C242" s="24" t="s">
        <v>610</v>
      </c>
      <c r="D242" s="613"/>
      <c r="E242" s="626">
        <v>4488</v>
      </c>
      <c r="F242" s="626">
        <v>6831</v>
      </c>
      <c r="G242" s="626">
        <v>9279</v>
      </c>
      <c r="H242" s="626">
        <v>8778</v>
      </c>
      <c r="I242" s="626">
        <v>6960</v>
      </c>
      <c r="J242" s="626">
        <v>3552</v>
      </c>
      <c r="K242" s="626">
        <v>2398</v>
      </c>
      <c r="L242" s="626">
        <v>262</v>
      </c>
      <c r="M242" s="627">
        <v>42548</v>
      </c>
      <c r="N242" s="322"/>
      <c r="O242" s="323">
        <v>261</v>
      </c>
      <c r="P242" s="323">
        <v>217</v>
      </c>
      <c r="Q242" s="323">
        <v>249</v>
      </c>
      <c r="R242" s="323">
        <v>173</v>
      </c>
      <c r="S242" s="323">
        <v>116</v>
      </c>
      <c r="T242" s="323">
        <v>44</v>
      </c>
      <c r="U242" s="323">
        <v>33</v>
      </c>
      <c r="V242" s="323">
        <v>10</v>
      </c>
      <c r="W242" s="323">
        <v>1103</v>
      </c>
      <c r="X242" s="329" t="s">
        <v>934</v>
      </c>
      <c r="Y242" s="330">
        <v>0</v>
      </c>
      <c r="Z242" s="330">
        <v>0</v>
      </c>
      <c r="AA242" s="330">
        <v>0</v>
      </c>
      <c r="AB242" s="330">
        <v>0</v>
      </c>
      <c r="AC242" s="330">
        <v>0</v>
      </c>
      <c r="AD242" s="330">
        <v>0</v>
      </c>
      <c r="AE242" s="330">
        <v>0</v>
      </c>
      <c r="AF242" s="330">
        <v>0</v>
      </c>
      <c r="AG242" s="328">
        <v>0</v>
      </c>
      <c r="AH242" s="329" t="s">
        <v>934</v>
      </c>
      <c r="AI242" s="184">
        <v>4</v>
      </c>
      <c r="AJ242" s="184">
        <v>45</v>
      </c>
      <c r="AK242" s="184">
        <v>92</v>
      </c>
      <c r="AL242" s="184">
        <v>84</v>
      </c>
      <c r="AM242" s="184">
        <v>102</v>
      </c>
      <c r="AN242" s="184">
        <v>48</v>
      </c>
      <c r="AO242" s="184">
        <v>39</v>
      </c>
      <c r="AP242" s="184">
        <v>27</v>
      </c>
      <c r="AQ242" s="336">
        <v>441</v>
      </c>
      <c r="AR242" s="323">
        <v>2</v>
      </c>
      <c r="AS242" s="323">
        <v>2381</v>
      </c>
      <c r="AT242" s="323">
        <v>3317</v>
      </c>
      <c r="AU242" s="323">
        <v>3464</v>
      </c>
      <c r="AV242" s="323">
        <v>2707</v>
      </c>
      <c r="AW242" s="323">
        <v>1631</v>
      </c>
      <c r="AX242" s="323">
        <v>658</v>
      </c>
      <c r="AY242" s="323">
        <v>316</v>
      </c>
      <c r="AZ242" s="323">
        <v>21</v>
      </c>
      <c r="BA242" s="323">
        <v>14497</v>
      </c>
      <c r="BB242" s="331">
        <v>0</v>
      </c>
      <c r="BC242" s="330">
        <v>25</v>
      </c>
      <c r="BD242" s="330">
        <v>67</v>
      </c>
      <c r="BE242" s="330">
        <v>55</v>
      </c>
      <c r="BF242" s="330">
        <v>80</v>
      </c>
      <c r="BG242" s="330">
        <v>47</v>
      </c>
      <c r="BH242" s="330">
        <v>20</v>
      </c>
      <c r="BI242" s="330">
        <v>10</v>
      </c>
      <c r="BJ242" s="330">
        <v>0</v>
      </c>
      <c r="BK242" s="328">
        <v>304</v>
      </c>
      <c r="BL242" s="323">
        <v>0</v>
      </c>
      <c r="BM242" s="323">
        <v>1</v>
      </c>
      <c r="BN242" s="323">
        <v>3</v>
      </c>
      <c r="BO242" s="323">
        <v>8</v>
      </c>
      <c r="BP242" s="323">
        <v>12</v>
      </c>
      <c r="BQ242" s="323">
        <v>20</v>
      </c>
      <c r="BR242" s="323">
        <v>27</v>
      </c>
      <c r="BS242" s="323">
        <v>39</v>
      </c>
      <c r="BT242" s="323">
        <v>10</v>
      </c>
      <c r="BU242" s="323">
        <v>120</v>
      </c>
      <c r="BV242" s="329" t="s">
        <v>934</v>
      </c>
      <c r="BW242" s="330">
        <v>430</v>
      </c>
      <c r="BX242" s="330">
        <v>221</v>
      </c>
      <c r="BY242" s="330">
        <v>237</v>
      </c>
      <c r="BZ242" s="330">
        <v>242</v>
      </c>
      <c r="CA242" s="330">
        <v>161</v>
      </c>
      <c r="CB242" s="330">
        <v>82</v>
      </c>
      <c r="CC242" s="330">
        <v>91</v>
      </c>
      <c r="CD242" s="330">
        <v>17</v>
      </c>
      <c r="CE242" s="328">
        <v>1481</v>
      </c>
      <c r="CF242" s="322" t="s">
        <v>934</v>
      </c>
      <c r="CG242" s="323">
        <v>0</v>
      </c>
      <c r="CH242" s="323">
        <v>0</v>
      </c>
      <c r="CI242" s="323">
        <v>0</v>
      </c>
      <c r="CJ242" s="323">
        <v>0</v>
      </c>
      <c r="CK242" s="323">
        <v>0</v>
      </c>
      <c r="CL242" s="323">
        <v>0</v>
      </c>
      <c r="CM242" s="323">
        <v>0</v>
      </c>
      <c r="CN242" s="323">
        <v>0</v>
      </c>
      <c r="CO242" s="323">
        <v>0</v>
      </c>
      <c r="CP242" s="329" t="s">
        <v>934</v>
      </c>
      <c r="CQ242" s="330">
        <v>144</v>
      </c>
      <c r="CR242" s="330">
        <v>110</v>
      </c>
      <c r="CS242" s="330">
        <v>113</v>
      </c>
      <c r="CT242" s="330">
        <v>115</v>
      </c>
      <c r="CU242" s="330">
        <v>72</v>
      </c>
      <c r="CV242" s="330">
        <v>29</v>
      </c>
      <c r="CW242" s="330">
        <v>35</v>
      </c>
      <c r="CX242" s="330">
        <v>6</v>
      </c>
      <c r="CY242" s="328">
        <v>624</v>
      </c>
      <c r="CZ242" s="322" t="s">
        <v>934</v>
      </c>
      <c r="DA242" s="323">
        <v>0</v>
      </c>
      <c r="DB242" s="323">
        <v>0</v>
      </c>
      <c r="DC242" s="323">
        <v>0</v>
      </c>
      <c r="DD242" s="323">
        <v>0</v>
      </c>
      <c r="DE242" s="323">
        <v>0</v>
      </c>
      <c r="DF242" s="323">
        <v>0</v>
      </c>
      <c r="DG242" s="323">
        <v>0</v>
      </c>
      <c r="DH242" s="323">
        <v>0</v>
      </c>
      <c r="DI242" s="323">
        <v>0</v>
      </c>
      <c r="DJ242" s="337">
        <v>0</v>
      </c>
      <c r="DK242" s="644">
        <v>38162.5</v>
      </c>
      <c r="DL242" s="614">
        <v>4584</v>
      </c>
      <c r="DM242" s="614">
        <v>6847</v>
      </c>
      <c r="DN242" s="614">
        <v>9452</v>
      </c>
      <c r="DO242" s="614">
        <v>8786</v>
      </c>
      <c r="DP242" s="614">
        <v>7001</v>
      </c>
      <c r="DQ242" s="614">
        <v>3592</v>
      </c>
      <c r="DR242" s="614">
        <v>2414</v>
      </c>
      <c r="DS242" s="615">
        <v>262</v>
      </c>
      <c r="DT242" s="607">
        <f t="shared" si="3"/>
        <v>42938</v>
      </c>
      <c r="DU242" s="342"/>
      <c r="EC242" s="646"/>
      <c r="EF242" s="123"/>
      <c r="EG242" s="124"/>
    </row>
    <row r="243" spans="1:137" ht="15">
      <c r="A243" s="22">
        <v>235</v>
      </c>
      <c r="B243" s="23" t="s">
        <v>611</v>
      </c>
      <c r="C243" s="24" t="s">
        <v>612</v>
      </c>
      <c r="D243" s="613"/>
      <c r="E243" s="626">
        <v>61854</v>
      </c>
      <c r="F243" s="626">
        <v>20451</v>
      </c>
      <c r="G243" s="626">
        <v>13472</v>
      </c>
      <c r="H243" s="626">
        <v>7926</v>
      </c>
      <c r="I243" s="626">
        <v>3985</v>
      </c>
      <c r="J243" s="626">
        <v>1526</v>
      </c>
      <c r="K243" s="626">
        <v>553</v>
      </c>
      <c r="L243" s="626">
        <v>47</v>
      </c>
      <c r="M243" s="627">
        <v>109814</v>
      </c>
      <c r="N243" s="322"/>
      <c r="O243" s="323">
        <v>1501</v>
      </c>
      <c r="P243" s="323">
        <v>326</v>
      </c>
      <c r="Q243" s="323">
        <v>171</v>
      </c>
      <c r="R243" s="323">
        <v>80</v>
      </c>
      <c r="S243" s="323">
        <v>44</v>
      </c>
      <c r="T243" s="323">
        <v>18</v>
      </c>
      <c r="U243" s="323">
        <v>5</v>
      </c>
      <c r="V243" s="323">
        <v>1</v>
      </c>
      <c r="W243" s="323">
        <v>2146</v>
      </c>
      <c r="X243" s="329" t="s">
        <v>934</v>
      </c>
      <c r="Y243" s="330">
        <v>0</v>
      </c>
      <c r="Z243" s="330">
        <v>0</v>
      </c>
      <c r="AA243" s="330">
        <v>0</v>
      </c>
      <c r="AB243" s="330">
        <v>0</v>
      </c>
      <c r="AC243" s="330">
        <v>0</v>
      </c>
      <c r="AD243" s="330">
        <v>0</v>
      </c>
      <c r="AE243" s="330">
        <v>0</v>
      </c>
      <c r="AF243" s="330">
        <v>0</v>
      </c>
      <c r="AG243" s="328">
        <v>0</v>
      </c>
      <c r="AH243" s="329" t="s">
        <v>934</v>
      </c>
      <c r="AI243" s="184">
        <v>164</v>
      </c>
      <c r="AJ243" s="184">
        <v>109</v>
      </c>
      <c r="AK243" s="184">
        <v>115</v>
      </c>
      <c r="AL243" s="184">
        <v>77</v>
      </c>
      <c r="AM243" s="184">
        <v>46</v>
      </c>
      <c r="AN243" s="184">
        <v>19</v>
      </c>
      <c r="AO243" s="184">
        <v>31</v>
      </c>
      <c r="AP243" s="184">
        <v>21</v>
      </c>
      <c r="AQ243" s="336">
        <v>582</v>
      </c>
      <c r="AR243" s="323">
        <v>32</v>
      </c>
      <c r="AS243" s="323">
        <v>25820</v>
      </c>
      <c r="AT243" s="323">
        <v>5004</v>
      </c>
      <c r="AU243" s="323">
        <v>2901</v>
      </c>
      <c r="AV243" s="323">
        <v>1179</v>
      </c>
      <c r="AW243" s="323">
        <v>491</v>
      </c>
      <c r="AX243" s="323">
        <v>196</v>
      </c>
      <c r="AY243" s="323">
        <v>54</v>
      </c>
      <c r="AZ243" s="323">
        <v>1</v>
      </c>
      <c r="BA243" s="323">
        <v>35678</v>
      </c>
      <c r="BB243" s="331">
        <v>4</v>
      </c>
      <c r="BC243" s="330">
        <v>425</v>
      </c>
      <c r="BD243" s="330">
        <v>157</v>
      </c>
      <c r="BE243" s="330">
        <v>96</v>
      </c>
      <c r="BF243" s="330">
        <v>66</v>
      </c>
      <c r="BG243" s="330">
        <v>30</v>
      </c>
      <c r="BH243" s="330">
        <v>11</v>
      </c>
      <c r="BI243" s="330">
        <v>0</v>
      </c>
      <c r="BJ243" s="330">
        <v>0</v>
      </c>
      <c r="BK243" s="328">
        <v>789</v>
      </c>
      <c r="BL243" s="323">
        <v>0</v>
      </c>
      <c r="BM243" s="323">
        <v>102</v>
      </c>
      <c r="BN243" s="323">
        <v>14</v>
      </c>
      <c r="BO243" s="323">
        <v>21</v>
      </c>
      <c r="BP243" s="323">
        <v>18</v>
      </c>
      <c r="BQ243" s="323">
        <v>9</v>
      </c>
      <c r="BR243" s="323">
        <v>25</v>
      </c>
      <c r="BS243" s="323">
        <v>27</v>
      </c>
      <c r="BT243" s="323">
        <v>9</v>
      </c>
      <c r="BU243" s="323">
        <v>225</v>
      </c>
      <c r="BV243" s="329" t="s">
        <v>934</v>
      </c>
      <c r="BW243" s="330">
        <v>192</v>
      </c>
      <c r="BX243" s="330">
        <v>63</v>
      </c>
      <c r="BY243" s="330">
        <v>41</v>
      </c>
      <c r="BZ243" s="330">
        <v>21</v>
      </c>
      <c r="CA243" s="330">
        <v>23</v>
      </c>
      <c r="CB243" s="330">
        <v>6</v>
      </c>
      <c r="CC243" s="330">
        <v>7</v>
      </c>
      <c r="CD243" s="330">
        <v>0</v>
      </c>
      <c r="CE243" s="328">
        <v>353</v>
      </c>
      <c r="CF243" s="322" t="s">
        <v>934</v>
      </c>
      <c r="CG243" s="323">
        <v>1080</v>
      </c>
      <c r="CH243" s="323">
        <v>169</v>
      </c>
      <c r="CI243" s="323">
        <v>127</v>
      </c>
      <c r="CJ243" s="323">
        <v>78</v>
      </c>
      <c r="CK243" s="323">
        <v>42</v>
      </c>
      <c r="CL243" s="323">
        <v>20</v>
      </c>
      <c r="CM243" s="323">
        <v>7</v>
      </c>
      <c r="CN243" s="323">
        <v>1</v>
      </c>
      <c r="CO243" s="323">
        <v>1524</v>
      </c>
      <c r="CP243" s="329" t="s">
        <v>934</v>
      </c>
      <c r="CQ243" s="330">
        <v>0</v>
      </c>
      <c r="CR243" s="330">
        <v>0</v>
      </c>
      <c r="CS243" s="330">
        <v>0</v>
      </c>
      <c r="CT243" s="330">
        <v>0</v>
      </c>
      <c r="CU243" s="330">
        <v>0</v>
      </c>
      <c r="CV243" s="330">
        <v>0</v>
      </c>
      <c r="CW243" s="330">
        <v>0</v>
      </c>
      <c r="CX243" s="330">
        <v>0</v>
      </c>
      <c r="CY243" s="328">
        <v>0</v>
      </c>
      <c r="CZ243" s="322" t="s">
        <v>934</v>
      </c>
      <c r="DA243" s="323">
        <v>0</v>
      </c>
      <c r="DB243" s="323">
        <v>0</v>
      </c>
      <c r="DC243" s="323">
        <v>0</v>
      </c>
      <c r="DD243" s="323">
        <v>0</v>
      </c>
      <c r="DE243" s="323">
        <v>0</v>
      </c>
      <c r="DF243" s="323">
        <v>0</v>
      </c>
      <c r="DG243" s="323">
        <v>0</v>
      </c>
      <c r="DH243" s="323">
        <v>0</v>
      </c>
      <c r="DI243" s="323">
        <v>0</v>
      </c>
      <c r="DJ243" s="337">
        <v>0</v>
      </c>
      <c r="DK243" s="644">
        <v>76038.4</v>
      </c>
      <c r="DL243" s="614">
        <v>61961</v>
      </c>
      <c r="DM243" s="614">
        <v>20603</v>
      </c>
      <c r="DN243" s="614">
        <v>13694</v>
      </c>
      <c r="DO243" s="614">
        <v>7995</v>
      </c>
      <c r="DP243" s="614">
        <v>4030</v>
      </c>
      <c r="DQ243" s="614">
        <v>1552</v>
      </c>
      <c r="DR243" s="614">
        <v>560</v>
      </c>
      <c r="DS243" s="615">
        <v>47</v>
      </c>
      <c r="DT243" s="607">
        <f t="shared" si="3"/>
        <v>110442</v>
      </c>
      <c r="DU243" s="342"/>
      <c r="EC243" s="646"/>
      <c r="EF243" s="123"/>
      <c r="EG243" s="124"/>
    </row>
    <row r="244" spans="1:137" ht="15">
      <c r="A244" s="22">
        <v>236</v>
      </c>
      <c r="B244" s="23" t="s">
        <v>613</v>
      </c>
      <c r="C244" s="24" t="s">
        <v>614</v>
      </c>
      <c r="D244" s="613"/>
      <c r="E244" s="634">
        <v>7845</v>
      </c>
      <c r="F244" s="634">
        <v>10204</v>
      </c>
      <c r="G244" s="634">
        <v>9803</v>
      </c>
      <c r="H244" s="634">
        <v>5123</v>
      </c>
      <c r="I244" s="634">
        <v>3788</v>
      </c>
      <c r="J244" s="634">
        <v>2340</v>
      </c>
      <c r="K244" s="634">
        <v>1390</v>
      </c>
      <c r="L244" s="634">
        <v>94</v>
      </c>
      <c r="M244" s="635">
        <v>40587</v>
      </c>
      <c r="N244" s="322"/>
      <c r="O244" s="323">
        <v>508</v>
      </c>
      <c r="P244" s="323">
        <v>382</v>
      </c>
      <c r="Q244" s="323">
        <v>209</v>
      </c>
      <c r="R244" s="323">
        <v>84</v>
      </c>
      <c r="S244" s="323">
        <v>44</v>
      </c>
      <c r="T244" s="323">
        <v>20</v>
      </c>
      <c r="U244" s="323">
        <v>24</v>
      </c>
      <c r="V244" s="323">
        <v>14</v>
      </c>
      <c r="W244" s="323">
        <v>1285</v>
      </c>
      <c r="X244" s="329" t="s">
        <v>934</v>
      </c>
      <c r="Y244" s="330">
        <v>0</v>
      </c>
      <c r="Z244" s="330">
        <v>0</v>
      </c>
      <c r="AA244" s="330">
        <v>0</v>
      </c>
      <c r="AB244" s="330">
        <v>0</v>
      </c>
      <c r="AC244" s="330">
        <v>0</v>
      </c>
      <c r="AD244" s="330">
        <v>0</v>
      </c>
      <c r="AE244" s="330">
        <v>0</v>
      </c>
      <c r="AF244" s="330">
        <v>0</v>
      </c>
      <c r="AG244" s="328">
        <v>0</v>
      </c>
      <c r="AH244" s="329" t="s">
        <v>934</v>
      </c>
      <c r="AI244" s="184">
        <v>17</v>
      </c>
      <c r="AJ244" s="184">
        <v>63</v>
      </c>
      <c r="AK244" s="184">
        <v>84</v>
      </c>
      <c r="AL244" s="184">
        <v>40</v>
      </c>
      <c r="AM244" s="184">
        <v>33</v>
      </c>
      <c r="AN244" s="184">
        <v>19</v>
      </c>
      <c r="AO244" s="184">
        <v>25</v>
      </c>
      <c r="AP244" s="184">
        <v>18</v>
      </c>
      <c r="AQ244" s="336">
        <v>299</v>
      </c>
      <c r="AR244" s="323">
        <v>6</v>
      </c>
      <c r="AS244" s="323">
        <v>4156</v>
      </c>
      <c r="AT244" s="323">
        <v>3925</v>
      </c>
      <c r="AU244" s="323">
        <v>2722</v>
      </c>
      <c r="AV244" s="323">
        <v>1130</v>
      </c>
      <c r="AW244" s="323">
        <v>605</v>
      </c>
      <c r="AX244" s="323">
        <v>289</v>
      </c>
      <c r="AY244" s="323">
        <v>139</v>
      </c>
      <c r="AZ244" s="323">
        <v>9</v>
      </c>
      <c r="BA244" s="323">
        <v>12981</v>
      </c>
      <c r="BB244" s="331">
        <v>1</v>
      </c>
      <c r="BC244" s="330">
        <v>23</v>
      </c>
      <c r="BD244" s="330">
        <v>63</v>
      </c>
      <c r="BE244" s="330">
        <v>48</v>
      </c>
      <c r="BF244" s="330">
        <v>16</v>
      </c>
      <c r="BG244" s="330">
        <v>15</v>
      </c>
      <c r="BH244" s="330">
        <v>13</v>
      </c>
      <c r="BI244" s="330">
        <v>4</v>
      </c>
      <c r="BJ244" s="330">
        <v>0</v>
      </c>
      <c r="BK244" s="328">
        <v>183</v>
      </c>
      <c r="BL244" s="323">
        <v>0</v>
      </c>
      <c r="BM244" s="323">
        <v>5</v>
      </c>
      <c r="BN244" s="323">
        <v>7</v>
      </c>
      <c r="BO244" s="323">
        <v>5</v>
      </c>
      <c r="BP244" s="323">
        <v>1</v>
      </c>
      <c r="BQ244" s="323">
        <v>5</v>
      </c>
      <c r="BR244" s="323">
        <v>10</v>
      </c>
      <c r="BS244" s="323">
        <v>17</v>
      </c>
      <c r="BT244" s="323">
        <v>3</v>
      </c>
      <c r="BU244" s="323">
        <v>53</v>
      </c>
      <c r="BV244" s="329" t="s">
        <v>934</v>
      </c>
      <c r="BW244" s="330">
        <v>50</v>
      </c>
      <c r="BX244" s="330">
        <v>71</v>
      </c>
      <c r="BY244" s="330">
        <v>30</v>
      </c>
      <c r="BZ244" s="330">
        <v>28</v>
      </c>
      <c r="CA244" s="330">
        <v>12</v>
      </c>
      <c r="CB244" s="330">
        <v>7</v>
      </c>
      <c r="CC244" s="330">
        <v>11</v>
      </c>
      <c r="CD244" s="330">
        <v>0</v>
      </c>
      <c r="CE244" s="328">
        <v>209</v>
      </c>
      <c r="CF244" s="322" t="s">
        <v>934</v>
      </c>
      <c r="CG244" s="323">
        <v>162</v>
      </c>
      <c r="CH244" s="323">
        <v>95</v>
      </c>
      <c r="CI244" s="323">
        <v>76</v>
      </c>
      <c r="CJ244" s="323">
        <v>57</v>
      </c>
      <c r="CK244" s="323">
        <v>27</v>
      </c>
      <c r="CL244" s="323">
        <v>20</v>
      </c>
      <c r="CM244" s="323">
        <v>7</v>
      </c>
      <c r="CN244" s="323">
        <v>1</v>
      </c>
      <c r="CO244" s="323">
        <v>445</v>
      </c>
      <c r="CP244" s="329" t="s">
        <v>934</v>
      </c>
      <c r="CQ244" s="330">
        <v>0</v>
      </c>
      <c r="CR244" s="330">
        <v>0</v>
      </c>
      <c r="CS244" s="330">
        <v>0</v>
      </c>
      <c r="CT244" s="330">
        <v>0</v>
      </c>
      <c r="CU244" s="330">
        <v>0</v>
      </c>
      <c r="CV244" s="330">
        <v>0</v>
      </c>
      <c r="CW244" s="330">
        <v>0</v>
      </c>
      <c r="CX244" s="330">
        <v>0</v>
      </c>
      <c r="CY244" s="328">
        <v>0</v>
      </c>
      <c r="CZ244" s="322" t="s">
        <v>934</v>
      </c>
      <c r="DA244" s="323">
        <v>0</v>
      </c>
      <c r="DB244" s="323">
        <v>0</v>
      </c>
      <c r="DC244" s="323">
        <v>0</v>
      </c>
      <c r="DD244" s="323">
        <v>0</v>
      </c>
      <c r="DE244" s="323">
        <v>0</v>
      </c>
      <c r="DF244" s="323">
        <v>0</v>
      </c>
      <c r="DG244" s="323">
        <v>0</v>
      </c>
      <c r="DH244" s="323">
        <v>0</v>
      </c>
      <c r="DI244" s="323">
        <v>0</v>
      </c>
      <c r="DJ244" s="337">
        <v>129.8</v>
      </c>
      <c r="DK244" s="644">
        <v>33489.3</v>
      </c>
      <c r="DL244" s="618">
        <v>7919</v>
      </c>
      <c r="DM244" s="618">
        <v>10491</v>
      </c>
      <c r="DN244" s="618">
        <v>9903</v>
      </c>
      <c r="DO244" s="618">
        <v>5254</v>
      </c>
      <c r="DP244" s="618">
        <v>3864</v>
      </c>
      <c r="DQ244" s="618">
        <v>2369</v>
      </c>
      <c r="DR244" s="618">
        <v>1420</v>
      </c>
      <c r="DS244" s="619">
        <v>95</v>
      </c>
      <c r="DT244" s="609">
        <f t="shared" si="3"/>
        <v>41315</v>
      </c>
      <c r="DU244" s="342"/>
      <c r="EC244" s="646"/>
      <c r="EF244" s="129"/>
      <c r="EG244" s="124"/>
    </row>
    <row r="245" spans="1:137" ht="15">
      <c r="A245" s="22">
        <v>237</v>
      </c>
      <c r="B245" s="23" t="s">
        <v>615</v>
      </c>
      <c r="C245" s="24" t="s">
        <v>616</v>
      </c>
      <c r="D245" s="613"/>
      <c r="E245" s="628">
        <v>1492</v>
      </c>
      <c r="F245" s="628">
        <v>1206</v>
      </c>
      <c r="G245" s="628">
        <v>5662</v>
      </c>
      <c r="H245" s="628">
        <v>10431</v>
      </c>
      <c r="I245" s="628">
        <v>6677</v>
      </c>
      <c r="J245" s="628">
        <v>3748</v>
      </c>
      <c r="K245" s="628">
        <v>2898</v>
      </c>
      <c r="L245" s="628">
        <v>978</v>
      </c>
      <c r="M245" s="627">
        <v>33092</v>
      </c>
      <c r="N245" s="322"/>
      <c r="O245" s="323">
        <v>88</v>
      </c>
      <c r="P245" s="323">
        <v>77</v>
      </c>
      <c r="Q245" s="323">
        <v>311</v>
      </c>
      <c r="R245" s="323">
        <v>489</v>
      </c>
      <c r="S245" s="323">
        <v>202</v>
      </c>
      <c r="T245" s="323">
        <v>78</v>
      </c>
      <c r="U245" s="323">
        <v>45</v>
      </c>
      <c r="V245" s="323">
        <v>56</v>
      </c>
      <c r="W245" s="323">
        <v>1346</v>
      </c>
      <c r="X245" s="329" t="s">
        <v>934</v>
      </c>
      <c r="Y245" s="330">
        <v>0</v>
      </c>
      <c r="Z245" s="330">
        <v>0</v>
      </c>
      <c r="AA245" s="330">
        <v>0</v>
      </c>
      <c r="AB245" s="330">
        <v>0</v>
      </c>
      <c r="AC245" s="330">
        <v>0</v>
      </c>
      <c r="AD245" s="330">
        <v>0</v>
      </c>
      <c r="AE245" s="330">
        <v>0</v>
      </c>
      <c r="AF245" s="330">
        <v>0</v>
      </c>
      <c r="AG245" s="328">
        <v>0</v>
      </c>
      <c r="AH245" s="329" t="s">
        <v>934</v>
      </c>
      <c r="AI245" s="184">
        <v>1</v>
      </c>
      <c r="AJ245" s="184">
        <v>2</v>
      </c>
      <c r="AK245" s="184">
        <v>11</v>
      </c>
      <c r="AL245" s="184">
        <v>44</v>
      </c>
      <c r="AM245" s="184">
        <v>41</v>
      </c>
      <c r="AN245" s="184">
        <v>30</v>
      </c>
      <c r="AO245" s="184">
        <v>28</v>
      </c>
      <c r="AP245" s="184">
        <v>6</v>
      </c>
      <c r="AQ245" s="336">
        <v>163</v>
      </c>
      <c r="AR245" s="323">
        <v>0</v>
      </c>
      <c r="AS245" s="323">
        <v>729</v>
      </c>
      <c r="AT245" s="323">
        <v>701</v>
      </c>
      <c r="AU245" s="323">
        <v>2753</v>
      </c>
      <c r="AV245" s="323">
        <v>3154</v>
      </c>
      <c r="AW245" s="323">
        <v>1511</v>
      </c>
      <c r="AX245" s="323">
        <v>666</v>
      </c>
      <c r="AY245" s="323">
        <v>415</v>
      </c>
      <c r="AZ245" s="323">
        <v>80</v>
      </c>
      <c r="BA245" s="323">
        <v>10009</v>
      </c>
      <c r="BB245" s="331">
        <v>0</v>
      </c>
      <c r="BC245" s="330">
        <v>4</v>
      </c>
      <c r="BD245" s="330">
        <v>3</v>
      </c>
      <c r="BE245" s="330">
        <v>31</v>
      </c>
      <c r="BF245" s="330">
        <v>52</v>
      </c>
      <c r="BG245" s="330">
        <v>28</v>
      </c>
      <c r="BH245" s="330">
        <v>15</v>
      </c>
      <c r="BI245" s="330">
        <v>8</v>
      </c>
      <c r="BJ245" s="330">
        <v>6</v>
      </c>
      <c r="BK245" s="328">
        <v>147</v>
      </c>
      <c r="BL245" s="323">
        <v>0</v>
      </c>
      <c r="BM245" s="323">
        <v>0</v>
      </c>
      <c r="BN245" s="323">
        <v>0</v>
      </c>
      <c r="BO245" s="323">
        <v>1</v>
      </c>
      <c r="BP245" s="323">
        <v>6</v>
      </c>
      <c r="BQ245" s="323">
        <v>6</v>
      </c>
      <c r="BR245" s="323">
        <v>17</v>
      </c>
      <c r="BS245" s="323">
        <v>16</v>
      </c>
      <c r="BT245" s="323">
        <v>3</v>
      </c>
      <c r="BU245" s="323">
        <v>49</v>
      </c>
      <c r="BV245" s="329" t="s">
        <v>934</v>
      </c>
      <c r="BW245" s="330">
        <v>22</v>
      </c>
      <c r="BX245" s="330">
        <v>7</v>
      </c>
      <c r="BY245" s="330">
        <v>40</v>
      </c>
      <c r="BZ245" s="330">
        <v>42</v>
      </c>
      <c r="CA245" s="330">
        <v>40</v>
      </c>
      <c r="CB245" s="330">
        <v>15</v>
      </c>
      <c r="CC245" s="330">
        <v>26</v>
      </c>
      <c r="CD245" s="330">
        <v>53</v>
      </c>
      <c r="CE245" s="328">
        <v>245</v>
      </c>
      <c r="CF245" s="322" t="s">
        <v>934</v>
      </c>
      <c r="CG245" s="323">
        <v>0</v>
      </c>
      <c r="CH245" s="323">
        <v>0</v>
      </c>
      <c r="CI245" s="323">
        <v>0</v>
      </c>
      <c r="CJ245" s="323">
        <v>0</v>
      </c>
      <c r="CK245" s="323">
        <v>0</v>
      </c>
      <c r="CL245" s="323">
        <v>0</v>
      </c>
      <c r="CM245" s="323">
        <v>0</v>
      </c>
      <c r="CN245" s="323">
        <v>0</v>
      </c>
      <c r="CO245" s="323">
        <v>0</v>
      </c>
      <c r="CP245" s="329" t="s">
        <v>934</v>
      </c>
      <c r="CQ245" s="330">
        <v>24</v>
      </c>
      <c r="CR245" s="330">
        <v>27</v>
      </c>
      <c r="CS245" s="330">
        <v>72</v>
      </c>
      <c r="CT245" s="330">
        <v>92</v>
      </c>
      <c r="CU245" s="330">
        <v>45</v>
      </c>
      <c r="CV245" s="330">
        <v>23</v>
      </c>
      <c r="CW245" s="330">
        <v>23</v>
      </c>
      <c r="CX245" s="330">
        <v>24</v>
      </c>
      <c r="CY245" s="328">
        <v>330</v>
      </c>
      <c r="CZ245" s="322" t="s">
        <v>934</v>
      </c>
      <c r="DA245" s="323">
        <v>0</v>
      </c>
      <c r="DB245" s="323">
        <v>0</v>
      </c>
      <c r="DC245" s="323">
        <v>0</v>
      </c>
      <c r="DD245" s="323">
        <v>0</v>
      </c>
      <c r="DE245" s="323">
        <v>0</v>
      </c>
      <c r="DF245" s="323">
        <v>0</v>
      </c>
      <c r="DG245" s="323">
        <v>0</v>
      </c>
      <c r="DH245" s="323">
        <v>0</v>
      </c>
      <c r="DI245" s="323">
        <v>0</v>
      </c>
      <c r="DJ245" s="337">
        <v>44.1</v>
      </c>
      <c r="DK245" s="644">
        <v>33531.2</v>
      </c>
      <c r="DL245" s="614">
        <v>1448</v>
      </c>
      <c r="DM245" s="614">
        <v>1232</v>
      </c>
      <c r="DN245" s="614">
        <v>5733</v>
      </c>
      <c r="DO245" s="614">
        <v>10628</v>
      </c>
      <c r="DP245" s="614">
        <v>6525</v>
      </c>
      <c r="DQ245" s="614">
        <v>3754</v>
      </c>
      <c r="DR245" s="614">
        <v>2872</v>
      </c>
      <c r="DS245" s="615">
        <v>966</v>
      </c>
      <c r="DT245" s="607">
        <f t="shared" si="3"/>
        <v>33158</v>
      </c>
      <c r="DU245" s="342"/>
      <c r="EC245" s="646"/>
      <c r="EF245" s="126"/>
      <c r="EG245" s="124"/>
    </row>
    <row r="246" spans="1:137" ht="15">
      <c r="A246" s="22">
        <v>238</v>
      </c>
      <c r="B246" s="23" t="s">
        <v>617</v>
      </c>
      <c r="C246" s="24" t="s">
        <v>618</v>
      </c>
      <c r="D246" s="613"/>
      <c r="E246" s="630">
        <v>5949</v>
      </c>
      <c r="F246" s="630">
        <v>9173</v>
      </c>
      <c r="G246" s="630">
        <v>9982</v>
      </c>
      <c r="H246" s="630">
        <v>8612</v>
      </c>
      <c r="I246" s="630">
        <v>6067</v>
      </c>
      <c r="J246" s="630">
        <v>3663</v>
      </c>
      <c r="K246" s="630">
        <v>2206</v>
      </c>
      <c r="L246" s="630">
        <v>109</v>
      </c>
      <c r="M246" s="627">
        <v>45761</v>
      </c>
      <c r="N246" s="322"/>
      <c r="O246" s="323">
        <v>350</v>
      </c>
      <c r="P246" s="323">
        <v>347</v>
      </c>
      <c r="Q246" s="323">
        <v>304</v>
      </c>
      <c r="R246" s="323">
        <v>204</v>
      </c>
      <c r="S246" s="323">
        <v>96</v>
      </c>
      <c r="T246" s="323">
        <v>47</v>
      </c>
      <c r="U246" s="323">
        <v>29</v>
      </c>
      <c r="V246" s="323">
        <v>10</v>
      </c>
      <c r="W246" s="323">
        <v>1387</v>
      </c>
      <c r="X246" s="329" t="s">
        <v>934</v>
      </c>
      <c r="Y246" s="330">
        <v>0</v>
      </c>
      <c r="Z246" s="330">
        <v>0</v>
      </c>
      <c r="AA246" s="330">
        <v>0</v>
      </c>
      <c r="AB246" s="330">
        <v>0</v>
      </c>
      <c r="AC246" s="330">
        <v>0</v>
      </c>
      <c r="AD246" s="330">
        <v>0</v>
      </c>
      <c r="AE246" s="330">
        <v>0</v>
      </c>
      <c r="AF246" s="330">
        <v>0</v>
      </c>
      <c r="AG246" s="328">
        <v>0</v>
      </c>
      <c r="AH246" s="329" t="s">
        <v>934</v>
      </c>
      <c r="AI246" s="184">
        <v>15</v>
      </c>
      <c r="AJ246" s="184">
        <v>33</v>
      </c>
      <c r="AK246" s="184">
        <v>51</v>
      </c>
      <c r="AL246" s="184">
        <v>49</v>
      </c>
      <c r="AM246" s="184">
        <v>50</v>
      </c>
      <c r="AN246" s="184">
        <v>27</v>
      </c>
      <c r="AO246" s="184">
        <v>34</v>
      </c>
      <c r="AP246" s="184">
        <v>9</v>
      </c>
      <c r="AQ246" s="336">
        <v>268</v>
      </c>
      <c r="AR246" s="323">
        <v>3</v>
      </c>
      <c r="AS246" s="323">
        <v>3046</v>
      </c>
      <c r="AT246" s="323">
        <v>3906</v>
      </c>
      <c r="AU246" s="323">
        <v>3116</v>
      </c>
      <c r="AV246" s="323">
        <v>2027</v>
      </c>
      <c r="AW246" s="323">
        <v>1008</v>
      </c>
      <c r="AX246" s="323">
        <v>504</v>
      </c>
      <c r="AY246" s="323">
        <v>250</v>
      </c>
      <c r="AZ246" s="323">
        <v>18</v>
      </c>
      <c r="BA246" s="323">
        <v>13878</v>
      </c>
      <c r="BB246" s="331">
        <v>1</v>
      </c>
      <c r="BC246" s="330">
        <v>44</v>
      </c>
      <c r="BD246" s="330">
        <v>86</v>
      </c>
      <c r="BE246" s="330">
        <v>81</v>
      </c>
      <c r="BF246" s="330">
        <v>55</v>
      </c>
      <c r="BG246" s="330">
        <v>25</v>
      </c>
      <c r="BH246" s="330">
        <v>14</v>
      </c>
      <c r="BI246" s="330">
        <v>9</v>
      </c>
      <c r="BJ246" s="330">
        <v>0</v>
      </c>
      <c r="BK246" s="328">
        <v>315</v>
      </c>
      <c r="BL246" s="323">
        <v>0</v>
      </c>
      <c r="BM246" s="323">
        <v>3</v>
      </c>
      <c r="BN246" s="323">
        <v>4</v>
      </c>
      <c r="BO246" s="323">
        <v>5</v>
      </c>
      <c r="BP246" s="323">
        <v>6</v>
      </c>
      <c r="BQ246" s="323">
        <v>4</v>
      </c>
      <c r="BR246" s="323">
        <v>13</v>
      </c>
      <c r="BS246" s="323">
        <v>11</v>
      </c>
      <c r="BT246" s="323">
        <v>6</v>
      </c>
      <c r="BU246" s="323">
        <v>52</v>
      </c>
      <c r="BV246" s="329" t="s">
        <v>934</v>
      </c>
      <c r="BW246" s="330">
        <v>82</v>
      </c>
      <c r="BX246" s="330">
        <v>56</v>
      </c>
      <c r="BY246" s="330">
        <v>77</v>
      </c>
      <c r="BZ246" s="330">
        <v>42</v>
      </c>
      <c r="CA246" s="330">
        <v>21</v>
      </c>
      <c r="CB246" s="330">
        <v>15</v>
      </c>
      <c r="CC246" s="330">
        <v>13</v>
      </c>
      <c r="CD246" s="330">
        <v>2</v>
      </c>
      <c r="CE246" s="328">
        <v>308</v>
      </c>
      <c r="CF246" s="322" t="s">
        <v>934</v>
      </c>
      <c r="CG246" s="323">
        <v>0</v>
      </c>
      <c r="CH246" s="323">
        <v>0</v>
      </c>
      <c r="CI246" s="323">
        <v>0</v>
      </c>
      <c r="CJ246" s="323">
        <v>0</v>
      </c>
      <c r="CK246" s="323">
        <v>0</v>
      </c>
      <c r="CL246" s="323">
        <v>0</v>
      </c>
      <c r="CM246" s="323">
        <v>0</v>
      </c>
      <c r="CN246" s="323">
        <v>0</v>
      </c>
      <c r="CO246" s="323">
        <v>0</v>
      </c>
      <c r="CP246" s="329" t="s">
        <v>934</v>
      </c>
      <c r="CQ246" s="330">
        <v>119</v>
      </c>
      <c r="CR246" s="330">
        <v>119</v>
      </c>
      <c r="CS246" s="330">
        <v>100</v>
      </c>
      <c r="CT246" s="330">
        <v>73</v>
      </c>
      <c r="CU246" s="330">
        <v>31</v>
      </c>
      <c r="CV246" s="330">
        <v>31</v>
      </c>
      <c r="CW246" s="330">
        <v>17</v>
      </c>
      <c r="CX246" s="330">
        <v>0</v>
      </c>
      <c r="CY246" s="328">
        <v>490</v>
      </c>
      <c r="CZ246" s="322" t="s">
        <v>934</v>
      </c>
      <c r="DA246" s="323">
        <v>0</v>
      </c>
      <c r="DB246" s="323">
        <v>0</v>
      </c>
      <c r="DC246" s="323">
        <v>0</v>
      </c>
      <c r="DD246" s="323">
        <v>0</v>
      </c>
      <c r="DE246" s="323">
        <v>0</v>
      </c>
      <c r="DF246" s="323">
        <v>0</v>
      </c>
      <c r="DG246" s="323">
        <v>0</v>
      </c>
      <c r="DH246" s="323">
        <v>0</v>
      </c>
      <c r="DI246" s="323">
        <v>0</v>
      </c>
      <c r="DJ246" s="337">
        <v>0</v>
      </c>
      <c r="DK246" s="644">
        <v>40593.3</v>
      </c>
      <c r="DL246" s="614">
        <v>6000</v>
      </c>
      <c r="DM246" s="614">
        <v>9355</v>
      </c>
      <c r="DN246" s="614">
        <v>10210</v>
      </c>
      <c r="DO246" s="614">
        <v>8704</v>
      </c>
      <c r="DP246" s="614">
        <v>6082</v>
      </c>
      <c r="DQ246" s="614">
        <v>3660</v>
      </c>
      <c r="DR246" s="614">
        <v>2213</v>
      </c>
      <c r="DS246" s="615">
        <v>110</v>
      </c>
      <c r="DT246" s="607">
        <f t="shared" si="3"/>
        <v>46334</v>
      </c>
      <c r="DU246" s="342"/>
      <c r="EC246" s="646"/>
      <c r="EF246" s="127"/>
      <c r="EG246" s="124"/>
    </row>
    <row r="247" spans="1:137" ht="15">
      <c r="A247" s="22">
        <v>239</v>
      </c>
      <c r="B247" s="23" t="s">
        <v>619</v>
      </c>
      <c r="C247" s="24" t="s">
        <v>620</v>
      </c>
      <c r="D247" s="613"/>
      <c r="E247" s="628">
        <v>1088</v>
      </c>
      <c r="F247" s="628">
        <v>7639</v>
      </c>
      <c r="G247" s="628">
        <v>14068</v>
      </c>
      <c r="H247" s="628">
        <v>7993</v>
      </c>
      <c r="I247" s="628">
        <v>3784</v>
      </c>
      <c r="J247" s="628">
        <v>1111</v>
      </c>
      <c r="K247" s="628">
        <v>316</v>
      </c>
      <c r="L247" s="628">
        <v>43</v>
      </c>
      <c r="M247" s="627">
        <v>36042</v>
      </c>
      <c r="N247" s="322"/>
      <c r="O247" s="323">
        <v>52</v>
      </c>
      <c r="P247" s="323">
        <v>255</v>
      </c>
      <c r="Q247" s="323">
        <v>1302</v>
      </c>
      <c r="R247" s="323">
        <v>769</v>
      </c>
      <c r="S247" s="323">
        <v>97</v>
      </c>
      <c r="T247" s="323">
        <v>24</v>
      </c>
      <c r="U247" s="323">
        <v>20</v>
      </c>
      <c r="V247" s="323">
        <v>30</v>
      </c>
      <c r="W247" s="323">
        <v>2549</v>
      </c>
      <c r="X247" s="329" t="s">
        <v>934</v>
      </c>
      <c r="Y247" s="330">
        <v>0</v>
      </c>
      <c r="Z247" s="330">
        <v>0</v>
      </c>
      <c r="AA247" s="330">
        <v>0</v>
      </c>
      <c r="AB247" s="330">
        <v>0</v>
      </c>
      <c r="AC247" s="330">
        <v>0</v>
      </c>
      <c r="AD247" s="330">
        <v>0</v>
      </c>
      <c r="AE247" s="330">
        <v>0</v>
      </c>
      <c r="AF247" s="330">
        <v>0</v>
      </c>
      <c r="AG247" s="328">
        <v>0</v>
      </c>
      <c r="AH247" s="329" t="s">
        <v>934</v>
      </c>
      <c r="AI247" s="184">
        <v>3</v>
      </c>
      <c r="AJ247" s="184">
        <v>21</v>
      </c>
      <c r="AK247" s="184">
        <v>70</v>
      </c>
      <c r="AL247" s="184">
        <v>41</v>
      </c>
      <c r="AM247" s="184">
        <v>19</v>
      </c>
      <c r="AN247" s="184">
        <v>15</v>
      </c>
      <c r="AO247" s="184">
        <v>8</v>
      </c>
      <c r="AP247" s="184">
        <v>4</v>
      </c>
      <c r="AQ247" s="336">
        <v>181</v>
      </c>
      <c r="AR247" s="323">
        <v>2</v>
      </c>
      <c r="AS247" s="323">
        <v>643</v>
      </c>
      <c r="AT247" s="323">
        <v>3819</v>
      </c>
      <c r="AU247" s="323">
        <v>3948</v>
      </c>
      <c r="AV247" s="323">
        <v>1587</v>
      </c>
      <c r="AW247" s="323">
        <v>613</v>
      </c>
      <c r="AX247" s="323">
        <v>124</v>
      </c>
      <c r="AY247" s="323">
        <v>37</v>
      </c>
      <c r="AZ247" s="323">
        <v>0</v>
      </c>
      <c r="BA247" s="323">
        <v>10773</v>
      </c>
      <c r="BB247" s="331">
        <v>0</v>
      </c>
      <c r="BC247" s="330">
        <v>5</v>
      </c>
      <c r="BD247" s="330">
        <v>61</v>
      </c>
      <c r="BE247" s="330">
        <v>109</v>
      </c>
      <c r="BF247" s="330">
        <v>44</v>
      </c>
      <c r="BG247" s="330">
        <v>21</v>
      </c>
      <c r="BH247" s="330">
        <v>3</v>
      </c>
      <c r="BI247" s="330">
        <v>0</v>
      </c>
      <c r="BJ247" s="330">
        <v>0</v>
      </c>
      <c r="BK247" s="328">
        <v>243</v>
      </c>
      <c r="BL247" s="323">
        <v>0</v>
      </c>
      <c r="BM247" s="323">
        <v>0</v>
      </c>
      <c r="BN247" s="323">
        <v>4</v>
      </c>
      <c r="BO247" s="323">
        <v>2</v>
      </c>
      <c r="BP247" s="323">
        <v>0</v>
      </c>
      <c r="BQ247" s="323">
        <v>8</v>
      </c>
      <c r="BR247" s="323">
        <v>9</v>
      </c>
      <c r="BS247" s="323">
        <v>7</v>
      </c>
      <c r="BT247" s="323">
        <v>3</v>
      </c>
      <c r="BU247" s="323">
        <v>33</v>
      </c>
      <c r="BV247" s="329" t="s">
        <v>934</v>
      </c>
      <c r="BW247" s="330">
        <v>8</v>
      </c>
      <c r="BX247" s="330">
        <v>25</v>
      </c>
      <c r="BY247" s="330">
        <v>39</v>
      </c>
      <c r="BZ247" s="330">
        <v>21</v>
      </c>
      <c r="CA247" s="330">
        <v>7</v>
      </c>
      <c r="CB247" s="330">
        <v>5</v>
      </c>
      <c r="CC247" s="330">
        <v>1</v>
      </c>
      <c r="CD247" s="330">
        <v>0</v>
      </c>
      <c r="CE247" s="328">
        <v>106</v>
      </c>
      <c r="CF247" s="322" t="s">
        <v>934</v>
      </c>
      <c r="CG247" s="323">
        <v>29</v>
      </c>
      <c r="CH247" s="323">
        <v>144</v>
      </c>
      <c r="CI247" s="323">
        <v>123</v>
      </c>
      <c r="CJ247" s="323">
        <v>40</v>
      </c>
      <c r="CK247" s="323">
        <v>9</v>
      </c>
      <c r="CL247" s="323">
        <v>2</v>
      </c>
      <c r="CM247" s="323">
        <v>3</v>
      </c>
      <c r="CN247" s="323">
        <v>1</v>
      </c>
      <c r="CO247" s="323">
        <v>351</v>
      </c>
      <c r="CP247" s="329" t="s">
        <v>934</v>
      </c>
      <c r="CQ247" s="330">
        <v>0</v>
      </c>
      <c r="CR247" s="330">
        <v>0</v>
      </c>
      <c r="CS247" s="330">
        <v>0</v>
      </c>
      <c r="CT247" s="330">
        <v>0</v>
      </c>
      <c r="CU247" s="330">
        <v>0</v>
      </c>
      <c r="CV247" s="330">
        <v>0</v>
      </c>
      <c r="CW247" s="330">
        <v>0</v>
      </c>
      <c r="CX247" s="330">
        <v>0</v>
      </c>
      <c r="CY247" s="328">
        <v>0</v>
      </c>
      <c r="CZ247" s="322" t="s">
        <v>934</v>
      </c>
      <c r="DA247" s="323">
        <v>0</v>
      </c>
      <c r="DB247" s="323">
        <v>0</v>
      </c>
      <c r="DC247" s="323">
        <v>0</v>
      </c>
      <c r="DD247" s="323">
        <v>0</v>
      </c>
      <c r="DE247" s="323">
        <v>0</v>
      </c>
      <c r="DF247" s="323">
        <v>0</v>
      </c>
      <c r="DG247" s="323">
        <v>0</v>
      </c>
      <c r="DH247" s="323">
        <v>0</v>
      </c>
      <c r="DI247" s="323">
        <v>0</v>
      </c>
      <c r="DJ247" s="337">
        <v>1568</v>
      </c>
      <c r="DK247" s="644">
        <v>30518</v>
      </c>
      <c r="DL247" s="614">
        <v>1136</v>
      </c>
      <c r="DM247" s="614">
        <v>7779</v>
      </c>
      <c r="DN247" s="614">
        <v>14300</v>
      </c>
      <c r="DO247" s="614">
        <v>8090</v>
      </c>
      <c r="DP247" s="614">
        <v>3787</v>
      </c>
      <c r="DQ247" s="614">
        <v>1101</v>
      </c>
      <c r="DR247" s="614">
        <v>315</v>
      </c>
      <c r="DS247" s="615">
        <v>44</v>
      </c>
      <c r="DT247" s="607">
        <f t="shared" si="3"/>
        <v>36552</v>
      </c>
      <c r="DU247" s="342"/>
      <c r="EC247" s="646"/>
      <c r="EF247" s="123"/>
      <c r="EG247" s="124"/>
    </row>
    <row r="248" spans="1:137" ht="15">
      <c r="A248" s="22">
        <v>240</v>
      </c>
      <c r="B248" s="23" t="s">
        <v>621</v>
      </c>
      <c r="C248" s="24" t="s">
        <v>622</v>
      </c>
      <c r="D248" s="613"/>
      <c r="E248" s="630">
        <v>1489</v>
      </c>
      <c r="F248" s="630">
        <v>3934</v>
      </c>
      <c r="G248" s="630">
        <v>2768</v>
      </c>
      <c r="H248" s="630">
        <v>2212</v>
      </c>
      <c r="I248" s="630">
        <v>2150</v>
      </c>
      <c r="J248" s="630">
        <v>1483</v>
      </c>
      <c r="K248" s="630">
        <v>1171</v>
      </c>
      <c r="L248" s="630">
        <v>135</v>
      </c>
      <c r="M248" s="627">
        <v>15342</v>
      </c>
      <c r="N248" s="322"/>
      <c r="O248" s="323">
        <v>88</v>
      </c>
      <c r="P248" s="323">
        <v>662</v>
      </c>
      <c r="Q248" s="323">
        <v>155</v>
      </c>
      <c r="R248" s="323">
        <v>79</v>
      </c>
      <c r="S248" s="323">
        <v>46</v>
      </c>
      <c r="T248" s="323">
        <v>22</v>
      </c>
      <c r="U248" s="323">
        <v>20</v>
      </c>
      <c r="V248" s="323">
        <v>12</v>
      </c>
      <c r="W248" s="323">
        <v>1084</v>
      </c>
      <c r="X248" s="329" t="s">
        <v>934</v>
      </c>
      <c r="Y248" s="330">
        <v>0</v>
      </c>
      <c r="Z248" s="330">
        <v>0</v>
      </c>
      <c r="AA248" s="330">
        <v>0</v>
      </c>
      <c r="AB248" s="330">
        <v>0</v>
      </c>
      <c r="AC248" s="330">
        <v>0</v>
      </c>
      <c r="AD248" s="330">
        <v>0</v>
      </c>
      <c r="AE248" s="330">
        <v>0</v>
      </c>
      <c r="AF248" s="330">
        <v>0</v>
      </c>
      <c r="AG248" s="328">
        <v>0</v>
      </c>
      <c r="AH248" s="329" t="s">
        <v>934</v>
      </c>
      <c r="AI248" s="184">
        <v>3</v>
      </c>
      <c r="AJ248" s="184">
        <v>13</v>
      </c>
      <c r="AK248" s="184">
        <v>11</v>
      </c>
      <c r="AL248" s="184">
        <v>16</v>
      </c>
      <c r="AM248" s="184">
        <v>10</v>
      </c>
      <c r="AN248" s="184">
        <v>7</v>
      </c>
      <c r="AO248" s="184">
        <v>6</v>
      </c>
      <c r="AP248" s="184">
        <v>7</v>
      </c>
      <c r="AQ248" s="336">
        <v>73</v>
      </c>
      <c r="AR248" s="323">
        <v>0</v>
      </c>
      <c r="AS248" s="323">
        <v>822</v>
      </c>
      <c r="AT248" s="323">
        <v>1321</v>
      </c>
      <c r="AU248" s="323">
        <v>850</v>
      </c>
      <c r="AV248" s="323">
        <v>544</v>
      </c>
      <c r="AW248" s="323">
        <v>392</v>
      </c>
      <c r="AX248" s="323">
        <v>233</v>
      </c>
      <c r="AY248" s="323">
        <v>131</v>
      </c>
      <c r="AZ248" s="323">
        <v>15</v>
      </c>
      <c r="BA248" s="323">
        <v>4308</v>
      </c>
      <c r="BB248" s="331">
        <v>0</v>
      </c>
      <c r="BC248" s="330">
        <v>9</v>
      </c>
      <c r="BD248" s="330">
        <v>23</v>
      </c>
      <c r="BE248" s="330">
        <v>20</v>
      </c>
      <c r="BF248" s="330">
        <v>12</v>
      </c>
      <c r="BG248" s="330">
        <v>13</v>
      </c>
      <c r="BH248" s="330">
        <v>3</v>
      </c>
      <c r="BI248" s="330">
        <v>6</v>
      </c>
      <c r="BJ248" s="330">
        <v>0</v>
      </c>
      <c r="BK248" s="328">
        <v>86</v>
      </c>
      <c r="BL248" s="323">
        <v>0</v>
      </c>
      <c r="BM248" s="323">
        <v>0</v>
      </c>
      <c r="BN248" s="323">
        <v>0</v>
      </c>
      <c r="BO248" s="323">
        <v>1</v>
      </c>
      <c r="BP248" s="323">
        <v>1</v>
      </c>
      <c r="BQ248" s="323">
        <v>2</v>
      </c>
      <c r="BR248" s="323">
        <v>2</v>
      </c>
      <c r="BS248" s="323">
        <v>6</v>
      </c>
      <c r="BT248" s="323">
        <v>0</v>
      </c>
      <c r="BU248" s="323">
        <v>12</v>
      </c>
      <c r="BV248" s="329" t="s">
        <v>934</v>
      </c>
      <c r="BW248" s="330">
        <v>10</v>
      </c>
      <c r="BX248" s="330">
        <v>23</v>
      </c>
      <c r="BY248" s="330">
        <v>30</v>
      </c>
      <c r="BZ248" s="330">
        <v>25</v>
      </c>
      <c r="CA248" s="330">
        <v>14</v>
      </c>
      <c r="CB248" s="330">
        <v>21</v>
      </c>
      <c r="CC248" s="330">
        <v>25</v>
      </c>
      <c r="CD248" s="330">
        <v>5</v>
      </c>
      <c r="CE248" s="328">
        <v>153</v>
      </c>
      <c r="CF248" s="322" t="s">
        <v>934</v>
      </c>
      <c r="CG248" s="323">
        <v>0</v>
      </c>
      <c r="CH248" s="323">
        <v>0</v>
      </c>
      <c r="CI248" s="323">
        <v>0</v>
      </c>
      <c r="CJ248" s="323">
        <v>0</v>
      </c>
      <c r="CK248" s="323">
        <v>0</v>
      </c>
      <c r="CL248" s="323">
        <v>0</v>
      </c>
      <c r="CM248" s="323">
        <v>0</v>
      </c>
      <c r="CN248" s="323">
        <v>0</v>
      </c>
      <c r="CO248" s="323">
        <v>0</v>
      </c>
      <c r="CP248" s="329" t="s">
        <v>934</v>
      </c>
      <c r="CQ248" s="330">
        <v>51</v>
      </c>
      <c r="CR248" s="330">
        <v>30</v>
      </c>
      <c r="CS248" s="330">
        <v>28</v>
      </c>
      <c r="CT248" s="330">
        <v>21</v>
      </c>
      <c r="CU248" s="330">
        <v>19</v>
      </c>
      <c r="CV248" s="330">
        <v>10</v>
      </c>
      <c r="CW248" s="330">
        <v>14</v>
      </c>
      <c r="CX248" s="330">
        <v>2</v>
      </c>
      <c r="CY248" s="328">
        <v>175</v>
      </c>
      <c r="CZ248" s="322" t="s">
        <v>934</v>
      </c>
      <c r="DA248" s="323">
        <v>0</v>
      </c>
      <c r="DB248" s="323">
        <v>0</v>
      </c>
      <c r="DC248" s="323">
        <v>0</v>
      </c>
      <c r="DD248" s="323">
        <v>0</v>
      </c>
      <c r="DE248" s="323">
        <v>0</v>
      </c>
      <c r="DF248" s="323">
        <v>0</v>
      </c>
      <c r="DG248" s="323">
        <v>0</v>
      </c>
      <c r="DH248" s="323">
        <v>0</v>
      </c>
      <c r="DI248" s="323">
        <v>0</v>
      </c>
      <c r="DJ248" s="337">
        <v>508.8</v>
      </c>
      <c r="DK248" s="644">
        <v>14153.5</v>
      </c>
      <c r="DL248" s="614">
        <v>1513</v>
      </c>
      <c r="DM248" s="614">
        <v>4009</v>
      </c>
      <c r="DN248" s="614">
        <v>2795</v>
      </c>
      <c r="DO248" s="614">
        <v>2220</v>
      </c>
      <c r="DP248" s="614">
        <v>2181</v>
      </c>
      <c r="DQ248" s="614">
        <v>1485</v>
      </c>
      <c r="DR248" s="614">
        <v>1185</v>
      </c>
      <c r="DS248" s="615">
        <v>138</v>
      </c>
      <c r="DT248" s="607">
        <f t="shared" si="3"/>
        <v>15526</v>
      </c>
      <c r="DU248" s="342"/>
      <c r="EC248" s="646"/>
      <c r="EF248" s="127"/>
      <c r="EG248" s="124"/>
    </row>
    <row r="249" spans="1:137" ht="15">
      <c r="A249" s="22">
        <v>241</v>
      </c>
      <c r="B249" s="23" t="s">
        <v>623</v>
      </c>
      <c r="C249" s="24" t="s">
        <v>624</v>
      </c>
      <c r="D249" s="613"/>
      <c r="E249" s="626">
        <v>2167</v>
      </c>
      <c r="F249" s="626">
        <v>5698</v>
      </c>
      <c r="G249" s="626">
        <v>5352</v>
      </c>
      <c r="H249" s="626">
        <v>3943</v>
      </c>
      <c r="I249" s="626">
        <v>3093</v>
      </c>
      <c r="J249" s="626">
        <v>1881</v>
      </c>
      <c r="K249" s="626">
        <v>1118</v>
      </c>
      <c r="L249" s="626">
        <v>98</v>
      </c>
      <c r="M249" s="627">
        <v>23350</v>
      </c>
      <c r="N249" s="322"/>
      <c r="O249" s="323">
        <v>134</v>
      </c>
      <c r="P249" s="323">
        <v>122</v>
      </c>
      <c r="Q249" s="323">
        <v>116</v>
      </c>
      <c r="R249" s="323">
        <v>73</v>
      </c>
      <c r="S249" s="323">
        <v>59</v>
      </c>
      <c r="T249" s="323">
        <v>34</v>
      </c>
      <c r="U249" s="323">
        <v>27</v>
      </c>
      <c r="V249" s="323">
        <v>4</v>
      </c>
      <c r="W249" s="323">
        <v>569</v>
      </c>
      <c r="X249" s="329" t="s">
        <v>934</v>
      </c>
      <c r="Y249" s="330">
        <v>0</v>
      </c>
      <c r="Z249" s="330">
        <v>0</v>
      </c>
      <c r="AA249" s="330">
        <v>0</v>
      </c>
      <c r="AB249" s="330">
        <v>0</v>
      </c>
      <c r="AC249" s="330">
        <v>0</v>
      </c>
      <c r="AD249" s="330">
        <v>0</v>
      </c>
      <c r="AE249" s="330">
        <v>0</v>
      </c>
      <c r="AF249" s="330">
        <v>0</v>
      </c>
      <c r="AG249" s="328">
        <v>0</v>
      </c>
      <c r="AH249" s="329" t="s">
        <v>934</v>
      </c>
      <c r="AI249" s="184">
        <v>4</v>
      </c>
      <c r="AJ249" s="184">
        <v>24</v>
      </c>
      <c r="AK249" s="184">
        <v>27</v>
      </c>
      <c r="AL249" s="184">
        <v>27</v>
      </c>
      <c r="AM249" s="184">
        <v>24</v>
      </c>
      <c r="AN249" s="184">
        <v>13</v>
      </c>
      <c r="AO249" s="184">
        <v>12</v>
      </c>
      <c r="AP249" s="184">
        <v>1</v>
      </c>
      <c r="AQ249" s="336">
        <v>132</v>
      </c>
      <c r="AR249" s="323">
        <v>0</v>
      </c>
      <c r="AS249" s="323">
        <v>1156</v>
      </c>
      <c r="AT249" s="323">
        <v>2003</v>
      </c>
      <c r="AU249" s="323">
        <v>1481</v>
      </c>
      <c r="AV249" s="323">
        <v>960</v>
      </c>
      <c r="AW249" s="323">
        <v>528</v>
      </c>
      <c r="AX249" s="323">
        <v>254</v>
      </c>
      <c r="AY249" s="323">
        <v>140</v>
      </c>
      <c r="AZ249" s="323">
        <v>9</v>
      </c>
      <c r="BA249" s="323">
        <v>6531</v>
      </c>
      <c r="BB249" s="331">
        <v>0</v>
      </c>
      <c r="BC249" s="330">
        <v>8</v>
      </c>
      <c r="BD249" s="330">
        <v>27</v>
      </c>
      <c r="BE249" s="330">
        <v>30</v>
      </c>
      <c r="BF249" s="330">
        <v>13</v>
      </c>
      <c r="BG249" s="330">
        <v>12</v>
      </c>
      <c r="BH249" s="330">
        <v>9</v>
      </c>
      <c r="BI249" s="330">
        <v>4</v>
      </c>
      <c r="BJ249" s="330">
        <v>1</v>
      </c>
      <c r="BK249" s="328">
        <v>104</v>
      </c>
      <c r="BL249" s="323">
        <v>0</v>
      </c>
      <c r="BM249" s="323">
        <v>5</v>
      </c>
      <c r="BN249" s="323">
        <v>18</v>
      </c>
      <c r="BO249" s="323">
        <v>16</v>
      </c>
      <c r="BP249" s="323">
        <v>12</v>
      </c>
      <c r="BQ249" s="323">
        <v>3</v>
      </c>
      <c r="BR249" s="323">
        <v>7</v>
      </c>
      <c r="BS249" s="323">
        <v>17</v>
      </c>
      <c r="BT249" s="323">
        <v>3</v>
      </c>
      <c r="BU249" s="323">
        <v>81</v>
      </c>
      <c r="BV249" s="329" t="s">
        <v>934</v>
      </c>
      <c r="BW249" s="330">
        <v>52</v>
      </c>
      <c r="BX249" s="330">
        <v>115</v>
      </c>
      <c r="BY249" s="330">
        <v>187</v>
      </c>
      <c r="BZ249" s="330">
        <v>129</v>
      </c>
      <c r="CA249" s="330">
        <v>89</v>
      </c>
      <c r="CB249" s="330">
        <v>38</v>
      </c>
      <c r="CC249" s="330">
        <v>26</v>
      </c>
      <c r="CD249" s="330">
        <v>3</v>
      </c>
      <c r="CE249" s="328">
        <v>639</v>
      </c>
      <c r="CF249" s="322" t="s">
        <v>934</v>
      </c>
      <c r="CG249" s="323">
        <v>0</v>
      </c>
      <c r="CH249" s="323">
        <v>0</v>
      </c>
      <c r="CI249" s="323">
        <v>0</v>
      </c>
      <c r="CJ249" s="323">
        <v>0</v>
      </c>
      <c r="CK249" s="323">
        <v>0</v>
      </c>
      <c r="CL249" s="323">
        <v>0</v>
      </c>
      <c r="CM249" s="323">
        <v>0</v>
      </c>
      <c r="CN249" s="323">
        <v>0</v>
      </c>
      <c r="CO249" s="323">
        <v>0</v>
      </c>
      <c r="CP249" s="329" t="s">
        <v>934</v>
      </c>
      <c r="CQ249" s="330">
        <v>42</v>
      </c>
      <c r="CR249" s="330">
        <v>44</v>
      </c>
      <c r="CS249" s="330">
        <v>49</v>
      </c>
      <c r="CT249" s="330">
        <v>41</v>
      </c>
      <c r="CU249" s="330">
        <v>18</v>
      </c>
      <c r="CV249" s="330">
        <v>15</v>
      </c>
      <c r="CW249" s="330">
        <v>10</v>
      </c>
      <c r="CX249" s="330">
        <v>3</v>
      </c>
      <c r="CY249" s="328">
        <v>222</v>
      </c>
      <c r="CZ249" s="322" t="s">
        <v>934</v>
      </c>
      <c r="DA249" s="323">
        <v>9</v>
      </c>
      <c r="DB249" s="323">
        <v>13</v>
      </c>
      <c r="DC249" s="323">
        <v>10</v>
      </c>
      <c r="DD249" s="323">
        <v>13</v>
      </c>
      <c r="DE249" s="323">
        <v>4</v>
      </c>
      <c r="DF249" s="323">
        <v>4</v>
      </c>
      <c r="DG249" s="323">
        <v>0</v>
      </c>
      <c r="DH249" s="323">
        <v>0</v>
      </c>
      <c r="DI249" s="323">
        <v>53</v>
      </c>
      <c r="DJ249" s="337">
        <v>8</v>
      </c>
      <c r="DK249" s="644">
        <v>20727.1</v>
      </c>
      <c r="DL249" s="614">
        <v>2189</v>
      </c>
      <c r="DM249" s="614">
        <v>5750</v>
      </c>
      <c r="DN249" s="614">
        <v>5420</v>
      </c>
      <c r="DO249" s="614">
        <v>3959</v>
      </c>
      <c r="DP249" s="614">
        <v>3121</v>
      </c>
      <c r="DQ249" s="614">
        <v>1908</v>
      </c>
      <c r="DR249" s="614">
        <v>1120</v>
      </c>
      <c r="DS249" s="615">
        <v>101</v>
      </c>
      <c r="DT249" s="607">
        <f t="shared" si="3"/>
        <v>23568</v>
      </c>
      <c r="DU249" s="342"/>
      <c r="EC249" s="646"/>
      <c r="EF249" s="123"/>
      <c r="EG249" s="124"/>
    </row>
    <row r="250" spans="1:137" ht="15">
      <c r="A250" s="22">
        <v>242</v>
      </c>
      <c r="B250" s="23" t="s">
        <v>625</v>
      </c>
      <c r="C250" s="24" t="s">
        <v>626</v>
      </c>
      <c r="D250" s="613"/>
      <c r="E250" s="626">
        <v>59327</v>
      </c>
      <c r="F250" s="626">
        <v>18800</v>
      </c>
      <c r="G250" s="626">
        <v>13795</v>
      </c>
      <c r="H250" s="626">
        <v>6160</v>
      </c>
      <c r="I250" s="626">
        <v>3118</v>
      </c>
      <c r="J250" s="626">
        <v>1277</v>
      </c>
      <c r="K250" s="626">
        <v>825</v>
      </c>
      <c r="L250" s="626">
        <v>102</v>
      </c>
      <c r="M250" s="627">
        <v>103404</v>
      </c>
      <c r="N250" s="322"/>
      <c r="O250" s="323">
        <v>3459</v>
      </c>
      <c r="P250" s="323">
        <v>637</v>
      </c>
      <c r="Q250" s="323">
        <v>305</v>
      </c>
      <c r="R250" s="323">
        <v>133</v>
      </c>
      <c r="S250" s="323">
        <v>85</v>
      </c>
      <c r="T250" s="323">
        <v>37</v>
      </c>
      <c r="U250" s="323">
        <v>18</v>
      </c>
      <c r="V250" s="323">
        <v>10</v>
      </c>
      <c r="W250" s="323">
        <v>4684</v>
      </c>
      <c r="X250" s="329" t="s">
        <v>934</v>
      </c>
      <c r="Y250" s="330">
        <v>532</v>
      </c>
      <c r="Z250" s="330">
        <v>2</v>
      </c>
      <c r="AA250" s="330">
        <v>1</v>
      </c>
      <c r="AB250" s="330">
        <v>1</v>
      </c>
      <c r="AC250" s="330">
        <v>0</v>
      </c>
      <c r="AD250" s="330">
        <v>0</v>
      </c>
      <c r="AE250" s="330">
        <v>0</v>
      </c>
      <c r="AF250" s="330">
        <v>1</v>
      </c>
      <c r="AG250" s="328">
        <v>537</v>
      </c>
      <c r="AH250" s="329" t="s">
        <v>934</v>
      </c>
      <c r="AI250" s="184">
        <v>89</v>
      </c>
      <c r="AJ250" s="184">
        <v>92</v>
      </c>
      <c r="AK250" s="184">
        <v>110</v>
      </c>
      <c r="AL250" s="184">
        <v>43</v>
      </c>
      <c r="AM250" s="184">
        <v>25</v>
      </c>
      <c r="AN250" s="184">
        <v>14</v>
      </c>
      <c r="AO250" s="184">
        <v>18</v>
      </c>
      <c r="AP250" s="184">
        <v>17</v>
      </c>
      <c r="AQ250" s="336">
        <v>408</v>
      </c>
      <c r="AR250" s="323">
        <v>18</v>
      </c>
      <c r="AS250" s="323">
        <v>30697</v>
      </c>
      <c r="AT250" s="323">
        <v>6656</v>
      </c>
      <c r="AU250" s="323">
        <v>3693</v>
      </c>
      <c r="AV250" s="323">
        <v>1323</v>
      </c>
      <c r="AW250" s="323">
        <v>515</v>
      </c>
      <c r="AX250" s="323">
        <v>217</v>
      </c>
      <c r="AY250" s="323">
        <v>98</v>
      </c>
      <c r="AZ250" s="323">
        <v>3</v>
      </c>
      <c r="BA250" s="323">
        <v>43220</v>
      </c>
      <c r="BB250" s="331">
        <v>5</v>
      </c>
      <c r="BC250" s="330">
        <v>451</v>
      </c>
      <c r="BD250" s="330">
        <v>204</v>
      </c>
      <c r="BE250" s="330">
        <v>142</v>
      </c>
      <c r="BF250" s="330">
        <v>68</v>
      </c>
      <c r="BG250" s="330">
        <v>29</v>
      </c>
      <c r="BH250" s="330">
        <v>9</v>
      </c>
      <c r="BI250" s="330">
        <v>7</v>
      </c>
      <c r="BJ250" s="330">
        <v>1</v>
      </c>
      <c r="BK250" s="328">
        <v>916</v>
      </c>
      <c r="BL250" s="323">
        <v>1</v>
      </c>
      <c r="BM250" s="323">
        <v>15</v>
      </c>
      <c r="BN250" s="323">
        <v>11</v>
      </c>
      <c r="BO250" s="323">
        <v>10</v>
      </c>
      <c r="BP250" s="323">
        <v>10</v>
      </c>
      <c r="BQ250" s="323">
        <v>6</v>
      </c>
      <c r="BR250" s="323">
        <v>2</v>
      </c>
      <c r="BS250" s="323">
        <v>20</v>
      </c>
      <c r="BT250" s="323">
        <v>29</v>
      </c>
      <c r="BU250" s="323">
        <v>104</v>
      </c>
      <c r="BV250" s="329" t="s">
        <v>934</v>
      </c>
      <c r="BW250" s="330">
        <v>15</v>
      </c>
      <c r="BX250" s="330">
        <v>12</v>
      </c>
      <c r="BY250" s="330">
        <v>24</v>
      </c>
      <c r="BZ250" s="330">
        <v>8</v>
      </c>
      <c r="CA250" s="330">
        <v>14</v>
      </c>
      <c r="CB250" s="330">
        <v>3</v>
      </c>
      <c r="CC250" s="330">
        <v>1</v>
      </c>
      <c r="CD250" s="330">
        <v>0</v>
      </c>
      <c r="CE250" s="328">
        <v>77</v>
      </c>
      <c r="CF250" s="322" t="s">
        <v>934</v>
      </c>
      <c r="CG250" s="323">
        <v>2160</v>
      </c>
      <c r="CH250" s="323">
        <v>488</v>
      </c>
      <c r="CI250" s="323">
        <v>304</v>
      </c>
      <c r="CJ250" s="323">
        <v>151</v>
      </c>
      <c r="CK250" s="323">
        <v>91</v>
      </c>
      <c r="CL250" s="323">
        <v>25</v>
      </c>
      <c r="CM250" s="323">
        <v>28</v>
      </c>
      <c r="CN250" s="323">
        <v>7</v>
      </c>
      <c r="CO250" s="323">
        <v>3254</v>
      </c>
      <c r="CP250" s="329" t="s">
        <v>934</v>
      </c>
      <c r="CQ250" s="330">
        <v>0</v>
      </c>
      <c r="CR250" s="330">
        <v>0</v>
      </c>
      <c r="CS250" s="330">
        <v>0</v>
      </c>
      <c r="CT250" s="330">
        <v>0</v>
      </c>
      <c r="CU250" s="330">
        <v>0</v>
      </c>
      <c r="CV250" s="330">
        <v>0</v>
      </c>
      <c r="CW250" s="330">
        <v>0</v>
      </c>
      <c r="CX250" s="330">
        <v>0</v>
      </c>
      <c r="CY250" s="328">
        <v>0</v>
      </c>
      <c r="CZ250" s="322" t="s">
        <v>934</v>
      </c>
      <c r="DA250" s="323">
        <v>0</v>
      </c>
      <c r="DB250" s="323">
        <v>0</v>
      </c>
      <c r="DC250" s="323">
        <v>0</v>
      </c>
      <c r="DD250" s="323">
        <v>0</v>
      </c>
      <c r="DE250" s="323">
        <v>0</v>
      </c>
      <c r="DF250" s="323">
        <v>0</v>
      </c>
      <c r="DG250" s="323">
        <v>0</v>
      </c>
      <c r="DH250" s="323">
        <v>0</v>
      </c>
      <c r="DI250" s="323">
        <v>0</v>
      </c>
      <c r="DJ250" s="337">
        <v>0</v>
      </c>
      <c r="DK250" s="644">
        <v>66649.8</v>
      </c>
      <c r="DL250" s="614">
        <v>59101</v>
      </c>
      <c r="DM250" s="614">
        <v>19477</v>
      </c>
      <c r="DN250" s="614">
        <v>13954</v>
      </c>
      <c r="DO250" s="614">
        <v>6380</v>
      </c>
      <c r="DP250" s="614">
        <v>3173</v>
      </c>
      <c r="DQ250" s="614">
        <v>1315</v>
      </c>
      <c r="DR250" s="614">
        <v>814</v>
      </c>
      <c r="DS250" s="615">
        <v>103</v>
      </c>
      <c r="DT250" s="607">
        <f t="shared" si="3"/>
        <v>104317</v>
      </c>
      <c r="DU250" s="342"/>
      <c r="EC250" s="646"/>
      <c r="EF250" s="123"/>
      <c r="EG250" s="124"/>
    </row>
    <row r="251" spans="1:137" ht="15">
      <c r="A251" s="22">
        <v>243</v>
      </c>
      <c r="B251" s="23" t="s">
        <v>627</v>
      </c>
      <c r="C251" s="24" t="s">
        <v>628</v>
      </c>
      <c r="D251" s="613"/>
      <c r="E251" s="626">
        <v>6100</v>
      </c>
      <c r="F251" s="626">
        <v>7348</v>
      </c>
      <c r="G251" s="626">
        <v>12578</v>
      </c>
      <c r="H251" s="626">
        <v>9339</v>
      </c>
      <c r="I251" s="626">
        <v>6868</v>
      </c>
      <c r="J251" s="626">
        <v>4034</v>
      </c>
      <c r="K251" s="626">
        <v>3026</v>
      </c>
      <c r="L251" s="626">
        <v>442</v>
      </c>
      <c r="M251" s="631">
        <v>49735</v>
      </c>
      <c r="N251" s="322"/>
      <c r="O251" s="323">
        <v>1285</v>
      </c>
      <c r="P251" s="323">
        <v>513</v>
      </c>
      <c r="Q251" s="323">
        <v>685</v>
      </c>
      <c r="R251" s="323">
        <v>435</v>
      </c>
      <c r="S251" s="323">
        <v>210</v>
      </c>
      <c r="T251" s="323">
        <v>120</v>
      </c>
      <c r="U251" s="323">
        <v>62</v>
      </c>
      <c r="V251" s="323">
        <v>29</v>
      </c>
      <c r="W251" s="323">
        <v>3339</v>
      </c>
      <c r="X251" s="329" t="s">
        <v>934</v>
      </c>
      <c r="Y251" s="330">
        <v>3</v>
      </c>
      <c r="Z251" s="330">
        <v>0</v>
      </c>
      <c r="AA251" s="330">
        <v>2</v>
      </c>
      <c r="AB251" s="330">
        <v>0</v>
      </c>
      <c r="AC251" s="330">
        <v>1</v>
      </c>
      <c r="AD251" s="330">
        <v>1</v>
      </c>
      <c r="AE251" s="330">
        <v>1</v>
      </c>
      <c r="AF251" s="330">
        <v>0</v>
      </c>
      <c r="AG251" s="328">
        <v>8</v>
      </c>
      <c r="AH251" s="329" t="s">
        <v>934</v>
      </c>
      <c r="AI251" s="184">
        <v>11</v>
      </c>
      <c r="AJ251" s="184">
        <v>30</v>
      </c>
      <c r="AK251" s="184">
        <v>36</v>
      </c>
      <c r="AL251" s="184">
        <v>50</v>
      </c>
      <c r="AM251" s="184">
        <v>50</v>
      </c>
      <c r="AN251" s="184">
        <v>34</v>
      </c>
      <c r="AO251" s="184">
        <v>39</v>
      </c>
      <c r="AP251" s="184">
        <v>10</v>
      </c>
      <c r="AQ251" s="336">
        <v>260</v>
      </c>
      <c r="AR251" s="323">
        <v>3</v>
      </c>
      <c r="AS251" s="323">
        <v>2442</v>
      </c>
      <c r="AT251" s="323">
        <v>3042</v>
      </c>
      <c r="AU251" s="323">
        <v>4050</v>
      </c>
      <c r="AV251" s="323">
        <v>2483</v>
      </c>
      <c r="AW251" s="323">
        <v>1520</v>
      </c>
      <c r="AX251" s="323">
        <v>710</v>
      </c>
      <c r="AY251" s="323">
        <v>441</v>
      </c>
      <c r="AZ251" s="323">
        <v>32</v>
      </c>
      <c r="BA251" s="323">
        <v>14723</v>
      </c>
      <c r="BB251" s="331">
        <v>1</v>
      </c>
      <c r="BC251" s="330">
        <v>22</v>
      </c>
      <c r="BD251" s="330">
        <v>38</v>
      </c>
      <c r="BE251" s="330">
        <v>77</v>
      </c>
      <c r="BF251" s="330">
        <v>49</v>
      </c>
      <c r="BG251" s="330">
        <v>40</v>
      </c>
      <c r="BH251" s="330">
        <v>17</v>
      </c>
      <c r="BI251" s="330">
        <v>15</v>
      </c>
      <c r="BJ251" s="330">
        <v>1</v>
      </c>
      <c r="BK251" s="328">
        <v>260</v>
      </c>
      <c r="BL251" s="323">
        <v>0</v>
      </c>
      <c r="BM251" s="323">
        <v>6</v>
      </c>
      <c r="BN251" s="323">
        <v>4</v>
      </c>
      <c r="BO251" s="323">
        <v>1</v>
      </c>
      <c r="BP251" s="323">
        <v>5</v>
      </c>
      <c r="BQ251" s="323">
        <v>3</v>
      </c>
      <c r="BR251" s="323">
        <v>13</v>
      </c>
      <c r="BS251" s="323">
        <v>8</v>
      </c>
      <c r="BT251" s="323">
        <v>4</v>
      </c>
      <c r="BU251" s="323">
        <v>44</v>
      </c>
      <c r="BV251" s="329" t="s">
        <v>934</v>
      </c>
      <c r="BW251" s="330">
        <v>110</v>
      </c>
      <c r="BX251" s="330">
        <v>143</v>
      </c>
      <c r="BY251" s="330">
        <v>167</v>
      </c>
      <c r="BZ251" s="330">
        <v>163</v>
      </c>
      <c r="CA251" s="330">
        <v>145</v>
      </c>
      <c r="CB251" s="330">
        <v>75</v>
      </c>
      <c r="CC251" s="330">
        <v>141</v>
      </c>
      <c r="CD251" s="330">
        <v>42</v>
      </c>
      <c r="CE251" s="328">
        <v>986</v>
      </c>
      <c r="CF251" s="322" t="s">
        <v>934</v>
      </c>
      <c r="CG251" s="323">
        <v>0</v>
      </c>
      <c r="CH251" s="323">
        <v>0</v>
      </c>
      <c r="CI251" s="323">
        <v>1</v>
      </c>
      <c r="CJ251" s="323">
        <v>1</v>
      </c>
      <c r="CK251" s="323">
        <v>0</v>
      </c>
      <c r="CL251" s="323">
        <v>0</v>
      </c>
      <c r="CM251" s="323">
        <v>0</v>
      </c>
      <c r="CN251" s="323">
        <v>0</v>
      </c>
      <c r="CO251" s="323">
        <v>2</v>
      </c>
      <c r="CP251" s="329" t="s">
        <v>934</v>
      </c>
      <c r="CQ251" s="330">
        <v>0</v>
      </c>
      <c r="CR251" s="330">
        <v>0</v>
      </c>
      <c r="CS251" s="330">
        <v>0</v>
      </c>
      <c r="CT251" s="330">
        <v>0</v>
      </c>
      <c r="CU251" s="330">
        <v>0</v>
      </c>
      <c r="CV251" s="330">
        <v>0</v>
      </c>
      <c r="CW251" s="330">
        <v>0</v>
      </c>
      <c r="CX251" s="330">
        <v>0</v>
      </c>
      <c r="CY251" s="328">
        <v>0</v>
      </c>
      <c r="CZ251" s="322" t="s">
        <v>934</v>
      </c>
      <c r="DA251" s="323">
        <v>0</v>
      </c>
      <c r="DB251" s="323">
        <v>0</v>
      </c>
      <c r="DC251" s="323">
        <v>0</v>
      </c>
      <c r="DD251" s="323">
        <v>0</v>
      </c>
      <c r="DE251" s="323">
        <v>0</v>
      </c>
      <c r="DF251" s="323">
        <v>0</v>
      </c>
      <c r="DG251" s="323">
        <v>0</v>
      </c>
      <c r="DH251" s="323">
        <v>0</v>
      </c>
      <c r="DI251" s="323">
        <v>0</v>
      </c>
      <c r="DJ251" s="337">
        <v>1615.7</v>
      </c>
      <c r="DK251" s="644">
        <v>45034.8</v>
      </c>
      <c r="DL251" s="614">
        <v>6131</v>
      </c>
      <c r="DM251" s="614">
        <v>7369</v>
      </c>
      <c r="DN251" s="614">
        <v>12649</v>
      </c>
      <c r="DO251" s="614">
        <v>9472</v>
      </c>
      <c r="DP251" s="614">
        <v>6966</v>
      </c>
      <c r="DQ251" s="614">
        <v>4076</v>
      </c>
      <c r="DR251" s="614">
        <v>3047</v>
      </c>
      <c r="DS251" s="615">
        <v>441</v>
      </c>
      <c r="DT251" s="607">
        <f t="shared" si="3"/>
        <v>50151</v>
      </c>
      <c r="DU251" s="342"/>
      <c r="EC251" s="646"/>
      <c r="EF251" s="126"/>
      <c r="EG251" s="124"/>
    </row>
    <row r="252" spans="1:137" ht="15">
      <c r="A252" s="22">
        <v>244</v>
      </c>
      <c r="B252" s="23" t="s">
        <v>629</v>
      </c>
      <c r="C252" s="24" t="s">
        <v>630</v>
      </c>
      <c r="D252" s="613"/>
      <c r="E252" s="634">
        <v>56269</v>
      </c>
      <c r="F252" s="634">
        <v>40783</v>
      </c>
      <c r="G252" s="634">
        <v>18184</v>
      </c>
      <c r="H252" s="634">
        <v>6171</v>
      </c>
      <c r="I252" s="634">
        <v>2528</v>
      </c>
      <c r="J252" s="634">
        <v>488</v>
      </c>
      <c r="K252" s="634">
        <v>53</v>
      </c>
      <c r="L252" s="634">
        <v>32</v>
      </c>
      <c r="M252" s="635">
        <v>124508</v>
      </c>
      <c r="N252" s="322"/>
      <c r="O252" s="323">
        <v>1777</v>
      </c>
      <c r="P252" s="323">
        <v>722</v>
      </c>
      <c r="Q252" s="323">
        <v>335</v>
      </c>
      <c r="R252" s="323">
        <v>103</v>
      </c>
      <c r="S252" s="323">
        <v>36</v>
      </c>
      <c r="T252" s="323">
        <v>10</v>
      </c>
      <c r="U252" s="323">
        <v>2</v>
      </c>
      <c r="V252" s="323">
        <v>0</v>
      </c>
      <c r="W252" s="323">
        <v>2985</v>
      </c>
      <c r="X252" s="329" t="s">
        <v>934</v>
      </c>
      <c r="Y252" s="330">
        <v>0</v>
      </c>
      <c r="Z252" s="330">
        <v>0</v>
      </c>
      <c r="AA252" s="330">
        <v>0</v>
      </c>
      <c r="AB252" s="330">
        <v>0</v>
      </c>
      <c r="AC252" s="330">
        <v>0</v>
      </c>
      <c r="AD252" s="330">
        <v>0</v>
      </c>
      <c r="AE252" s="330">
        <v>0</v>
      </c>
      <c r="AF252" s="330">
        <v>0</v>
      </c>
      <c r="AG252" s="328">
        <v>0</v>
      </c>
      <c r="AH252" s="329" t="s">
        <v>934</v>
      </c>
      <c r="AI252" s="184">
        <v>241</v>
      </c>
      <c r="AJ252" s="184">
        <v>260</v>
      </c>
      <c r="AK252" s="184">
        <v>122</v>
      </c>
      <c r="AL252" s="184">
        <v>50</v>
      </c>
      <c r="AM252" s="184">
        <v>33</v>
      </c>
      <c r="AN252" s="184">
        <v>13</v>
      </c>
      <c r="AO252" s="184">
        <v>13</v>
      </c>
      <c r="AP252" s="184">
        <v>22</v>
      </c>
      <c r="AQ252" s="336">
        <v>754</v>
      </c>
      <c r="AR252" s="323">
        <v>65</v>
      </c>
      <c r="AS252" s="323">
        <v>25513</v>
      </c>
      <c r="AT252" s="323">
        <v>13076</v>
      </c>
      <c r="AU252" s="323">
        <v>4466</v>
      </c>
      <c r="AV252" s="323">
        <v>1118</v>
      </c>
      <c r="AW252" s="323">
        <v>372</v>
      </c>
      <c r="AX252" s="323">
        <v>66</v>
      </c>
      <c r="AY252" s="323">
        <v>3</v>
      </c>
      <c r="AZ252" s="323">
        <v>0</v>
      </c>
      <c r="BA252" s="323">
        <v>44679</v>
      </c>
      <c r="BB252" s="331">
        <v>6</v>
      </c>
      <c r="BC252" s="330">
        <v>253</v>
      </c>
      <c r="BD252" s="330">
        <v>222</v>
      </c>
      <c r="BE252" s="330">
        <v>79</v>
      </c>
      <c r="BF252" s="330">
        <v>28</v>
      </c>
      <c r="BG252" s="330">
        <v>13</v>
      </c>
      <c r="BH252" s="330">
        <v>3</v>
      </c>
      <c r="BI252" s="330">
        <v>3</v>
      </c>
      <c r="BJ252" s="330">
        <v>0</v>
      </c>
      <c r="BK252" s="328">
        <v>607</v>
      </c>
      <c r="BL252" s="323">
        <v>2</v>
      </c>
      <c r="BM252" s="323">
        <v>13</v>
      </c>
      <c r="BN252" s="323">
        <v>18</v>
      </c>
      <c r="BO252" s="323">
        <v>16</v>
      </c>
      <c r="BP252" s="323">
        <v>15</v>
      </c>
      <c r="BQ252" s="323">
        <v>10</v>
      </c>
      <c r="BR252" s="323">
        <v>11</v>
      </c>
      <c r="BS252" s="323">
        <v>25</v>
      </c>
      <c r="BT252" s="323">
        <v>5</v>
      </c>
      <c r="BU252" s="323">
        <v>115</v>
      </c>
      <c r="BV252" s="329" t="s">
        <v>934</v>
      </c>
      <c r="BW252" s="330">
        <v>83</v>
      </c>
      <c r="BX252" s="330">
        <v>49</v>
      </c>
      <c r="BY252" s="330">
        <v>21</v>
      </c>
      <c r="BZ252" s="330">
        <v>11</v>
      </c>
      <c r="CA252" s="330">
        <v>9</v>
      </c>
      <c r="CB252" s="330">
        <v>1</v>
      </c>
      <c r="CC252" s="330">
        <v>1</v>
      </c>
      <c r="CD252" s="330">
        <v>0</v>
      </c>
      <c r="CE252" s="328">
        <v>175</v>
      </c>
      <c r="CF252" s="322" t="s">
        <v>934</v>
      </c>
      <c r="CG252" s="323">
        <v>175</v>
      </c>
      <c r="CH252" s="323">
        <v>93</v>
      </c>
      <c r="CI252" s="323">
        <v>41</v>
      </c>
      <c r="CJ252" s="323">
        <v>10</v>
      </c>
      <c r="CK252" s="323">
        <v>5</v>
      </c>
      <c r="CL252" s="323">
        <v>1</v>
      </c>
      <c r="CM252" s="323">
        <v>1</v>
      </c>
      <c r="CN252" s="323">
        <v>1</v>
      </c>
      <c r="CO252" s="323">
        <v>327</v>
      </c>
      <c r="CP252" s="329" t="s">
        <v>934</v>
      </c>
      <c r="CQ252" s="330">
        <v>1477</v>
      </c>
      <c r="CR252" s="330">
        <v>410</v>
      </c>
      <c r="CS252" s="330">
        <v>230</v>
      </c>
      <c r="CT252" s="330">
        <v>71</v>
      </c>
      <c r="CU252" s="330">
        <v>29</v>
      </c>
      <c r="CV252" s="330">
        <v>10</v>
      </c>
      <c r="CW252" s="330">
        <v>6</v>
      </c>
      <c r="CX252" s="330">
        <v>0</v>
      </c>
      <c r="CY252" s="328">
        <v>2233</v>
      </c>
      <c r="CZ252" s="322" t="s">
        <v>934</v>
      </c>
      <c r="DA252" s="323">
        <v>0</v>
      </c>
      <c r="DB252" s="323">
        <v>0</v>
      </c>
      <c r="DC252" s="323">
        <v>0</v>
      </c>
      <c r="DD252" s="323">
        <v>0</v>
      </c>
      <c r="DE252" s="323">
        <v>0</v>
      </c>
      <c r="DF252" s="323">
        <v>0</v>
      </c>
      <c r="DG252" s="323">
        <v>0</v>
      </c>
      <c r="DH252" s="323">
        <v>0</v>
      </c>
      <c r="DI252" s="323">
        <v>0</v>
      </c>
      <c r="DJ252" s="337">
        <v>0</v>
      </c>
      <c r="DK252" s="644">
        <v>84620.5</v>
      </c>
      <c r="DL252" s="618">
        <v>56247</v>
      </c>
      <c r="DM252" s="618">
        <v>41103</v>
      </c>
      <c r="DN252" s="618">
        <v>18505</v>
      </c>
      <c r="DO252" s="618">
        <v>6356</v>
      </c>
      <c r="DP252" s="618">
        <v>2607</v>
      </c>
      <c r="DQ252" s="618">
        <v>491</v>
      </c>
      <c r="DR252" s="618">
        <v>54</v>
      </c>
      <c r="DS252" s="619">
        <v>32</v>
      </c>
      <c r="DT252" s="609">
        <f t="shared" si="3"/>
        <v>125395</v>
      </c>
      <c r="DU252" s="342"/>
      <c r="EC252" s="646"/>
      <c r="EF252" s="129"/>
      <c r="EG252" s="124"/>
    </row>
    <row r="253" spans="1:137" ht="15">
      <c r="A253" s="22">
        <v>245</v>
      </c>
      <c r="B253" s="23" t="s">
        <v>631</v>
      </c>
      <c r="C253" s="24" t="s">
        <v>632</v>
      </c>
      <c r="D253" s="613"/>
      <c r="E253" s="626">
        <v>14954</v>
      </c>
      <c r="F253" s="626">
        <v>13998</v>
      </c>
      <c r="G253" s="626">
        <v>12068</v>
      </c>
      <c r="H253" s="626">
        <v>6929</v>
      </c>
      <c r="I253" s="626">
        <v>3836</v>
      </c>
      <c r="J253" s="626">
        <v>1670</v>
      </c>
      <c r="K253" s="626">
        <v>688</v>
      </c>
      <c r="L253" s="626">
        <v>43</v>
      </c>
      <c r="M253" s="627">
        <v>54186</v>
      </c>
      <c r="N253" s="322"/>
      <c r="O253" s="323">
        <v>759</v>
      </c>
      <c r="P253" s="323">
        <v>381</v>
      </c>
      <c r="Q253" s="323">
        <v>278</v>
      </c>
      <c r="R253" s="323">
        <v>130</v>
      </c>
      <c r="S253" s="323">
        <v>77</v>
      </c>
      <c r="T253" s="323">
        <v>28</v>
      </c>
      <c r="U253" s="323">
        <v>11</v>
      </c>
      <c r="V253" s="323">
        <v>2</v>
      </c>
      <c r="W253" s="323">
        <v>1666</v>
      </c>
      <c r="X253" s="329" t="s">
        <v>934</v>
      </c>
      <c r="Y253" s="330">
        <v>0</v>
      </c>
      <c r="Z253" s="330">
        <v>0</v>
      </c>
      <c r="AA253" s="330">
        <v>0</v>
      </c>
      <c r="AB253" s="330">
        <v>0</v>
      </c>
      <c r="AC253" s="330">
        <v>0</v>
      </c>
      <c r="AD253" s="330">
        <v>0</v>
      </c>
      <c r="AE253" s="330">
        <v>0</v>
      </c>
      <c r="AF253" s="330">
        <v>0</v>
      </c>
      <c r="AG253" s="328">
        <v>0</v>
      </c>
      <c r="AH253" s="329" t="s">
        <v>934</v>
      </c>
      <c r="AI253" s="184">
        <v>19</v>
      </c>
      <c r="AJ253" s="184">
        <v>74</v>
      </c>
      <c r="AK253" s="184">
        <v>82</v>
      </c>
      <c r="AL253" s="184">
        <v>63</v>
      </c>
      <c r="AM253" s="184">
        <v>47</v>
      </c>
      <c r="AN253" s="184">
        <v>30</v>
      </c>
      <c r="AO253" s="184">
        <v>26</v>
      </c>
      <c r="AP253" s="184">
        <v>11</v>
      </c>
      <c r="AQ253" s="336">
        <v>352</v>
      </c>
      <c r="AR253" s="323">
        <v>6</v>
      </c>
      <c r="AS253" s="323">
        <v>7442</v>
      </c>
      <c r="AT253" s="323">
        <v>5189</v>
      </c>
      <c r="AU253" s="323">
        <v>3452</v>
      </c>
      <c r="AV253" s="323">
        <v>1539</v>
      </c>
      <c r="AW253" s="323">
        <v>691</v>
      </c>
      <c r="AX253" s="323">
        <v>242</v>
      </c>
      <c r="AY253" s="323">
        <v>93</v>
      </c>
      <c r="AZ253" s="323">
        <v>5</v>
      </c>
      <c r="BA253" s="323">
        <v>18659</v>
      </c>
      <c r="BB253" s="331">
        <v>0</v>
      </c>
      <c r="BC253" s="330">
        <v>98</v>
      </c>
      <c r="BD253" s="330">
        <v>73</v>
      </c>
      <c r="BE253" s="330">
        <v>63</v>
      </c>
      <c r="BF253" s="330">
        <v>27</v>
      </c>
      <c r="BG253" s="330">
        <v>25</v>
      </c>
      <c r="BH253" s="330">
        <v>4</v>
      </c>
      <c r="BI253" s="330">
        <v>4</v>
      </c>
      <c r="BJ253" s="330">
        <v>0</v>
      </c>
      <c r="BK253" s="328">
        <v>294</v>
      </c>
      <c r="BL253" s="323">
        <v>0</v>
      </c>
      <c r="BM253" s="323">
        <v>8</v>
      </c>
      <c r="BN253" s="323">
        <v>7</v>
      </c>
      <c r="BO253" s="323">
        <v>11</v>
      </c>
      <c r="BP253" s="323">
        <v>20</v>
      </c>
      <c r="BQ253" s="323">
        <v>16</v>
      </c>
      <c r="BR253" s="323">
        <v>33</v>
      </c>
      <c r="BS253" s="323">
        <v>34</v>
      </c>
      <c r="BT253" s="323">
        <v>1</v>
      </c>
      <c r="BU253" s="323">
        <v>130</v>
      </c>
      <c r="BV253" s="329" t="s">
        <v>934</v>
      </c>
      <c r="BW253" s="330">
        <v>920</v>
      </c>
      <c r="BX253" s="330">
        <v>1056</v>
      </c>
      <c r="BY253" s="330">
        <v>887</v>
      </c>
      <c r="BZ253" s="330">
        <v>504</v>
      </c>
      <c r="CA253" s="330">
        <v>224</v>
      </c>
      <c r="CB253" s="330">
        <v>89</v>
      </c>
      <c r="CC253" s="330">
        <v>33</v>
      </c>
      <c r="CD253" s="330">
        <v>3</v>
      </c>
      <c r="CE253" s="328">
        <v>3716</v>
      </c>
      <c r="CF253" s="322" t="s">
        <v>934</v>
      </c>
      <c r="CG253" s="323">
        <v>0</v>
      </c>
      <c r="CH253" s="323">
        <v>0</v>
      </c>
      <c r="CI253" s="323">
        <v>0</v>
      </c>
      <c r="CJ253" s="323">
        <v>0</v>
      </c>
      <c r="CK253" s="323">
        <v>0</v>
      </c>
      <c r="CL253" s="323">
        <v>0</v>
      </c>
      <c r="CM253" s="323">
        <v>0</v>
      </c>
      <c r="CN253" s="323">
        <v>0</v>
      </c>
      <c r="CO253" s="323">
        <v>0</v>
      </c>
      <c r="CP253" s="329" t="s">
        <v>934</v>
      </c>
      <c r="CQ253" s="330">
        <v>358</v>
      </c>
      <c r="CR253" s="330">
        <v>155</v>
      </c>
      <c r="CS253" s="330">
        <v>128</v>
      </c>
      <c r="CT253" s="330">
        <v>83</v>
      </c>
      <c r="CU253" s="330">
        <v>35</v>
      </c>
      <c r="CV253" s="330">
        <v>17</v>
      </c>
      <c r="CW253" s="330">
        <v>8</v>
      </c>
      <c r="CX253" s="330">
        <v>0</v>
      </c>
      <c r="CY253" s="328">
        <v>784</v>
      </c>
      <c r="CZ253" s="322" t="s">
        <v>934</v>
      </c>
      <c r="DA253" s="323">
        <v>0</v>
      </c>
      <c r="DB253" s="323">
        <v>0</v>
      </c>
      <c r="DC253" s="323">
        <v>0</v>
      </c>
      <c r="DD253" s="323">
        <v>0</v>
      </c>
      <c r="DE253" s="323">
        <v>0</v>
      </c>
      <c r="DF253" s="323">
        <v>0</v>
      </c>
      <c r="DG253" s="323">
        <v>0</v>
      </c>
      <c r="DH253" s="323">
        <v>0</v>
      </c>
      <c r="DI253" s="323">
        <v>0</v>
      </c>
      <c r="DJ253" s="337">
        <v>23.4</v>
      </c>
      <c r="DK253" s="644">
        <v>39998</v>
      </c>
      <c r="DL253" s="614">
        <v>15039</v>
      </c>
      <c r="DM253" s="614">
        <v>14121</v>
      </c>
      <c r="DN253" s="614">
        <v>12184</v>
      </c>
      <c r="DO253" s="614">
        <v>6922</v>
      </c>
      <c r="DP253" s="614">
        <v>3876</v>
      </c>
      <c r="DQ253" s="614">
        <v>1662</v>
      </c>
      <c r="DR253" s="614">
        <v>694</v>
      </c>
      <c r="DS253" s="615">
        <v>44</v>
      </c>
      <c r="DT253" s="607">
        <f t="shared" si="3"/>
        <v>54542</v>
      </c>
      <c r="DU253" s="342"/>
      <c r="EC253" s="646"/>
      <c r="EF253" s="123"/>
      <c r="EG253" s="124"/>
    </row>
    <row r="254" spans="1:137" ht="15">
      <c r="A254" s="22">
        <v>246</v>
      </c>
      <c r="B254" s="23" t="s">
        <v>633</v>
      </c>
      <c r="C254" s="24" t="s">
        <v>634</v>
      </c>
      <c r="D254" s="613"/>
      <c r="E254" s="629">
        <v>27511</v>
      </c>
      <c r="F254" s="629">
        <v>4423</v>
      </c>
      <c r="G254" s="629">
        <v>3784</v>
      </c>
      <c r="H254" s="629">
        <v>2807</v>
      </c>
      <c r="I254" s="629">
        <v>1313</v>
      </c>
      <c r="J254" s="629">
        <v>416</v>
      </c>
      <c r="K254" s="629">
        <v>100</v>
      </c>
      <c r="L254" s="629">
        <v>19</v>
      </c>
      <c r="M254" s="627">
        <v>40373</v>
      </c>
      <c r="N254" s="322"/>
      <c r="O254" s="323">
        <v>765</v>
      </c>
      <c r="P254" s="323">
        <v>81</v>
      </c>
      <c r="Q254" s="323">
        <v>81</v>
      </c>
      <c r="R254" s="323">
        <v>56</v>
      </c>
      <c r="S254" s="323">
        <v>27</v>
      </c>
      <c r="T254" s="323">
        <v>7</v>
      </c>
      <c r="U254" s="323">
        <v>3</v>
      </c>
      <c r="V254" s="323">
        <v>0</v>
      </c>
      <c r="W254" s="323">
        <v>1020</v>
      </c>
      <c r="X254" s="329" t="s">
        <v>934</v>
      </c>
      <c r="Y254" s="330">
        <v>0</v>
      </c>
      <c r="Z254" s="330">
        <v>0</v>
      </c>
      <c r="AA254" s="330">
        <v>0</v>
      </c>
      <c r="AB254" s="330">
        <v>0</v>
      </c>
      <c r="AC254" s="330">
        <v>0</v>
      </c>
      <c r="AD254" s="330">
        <v>0</v>
      </c>
      <c r="AE254" s="330">
        <v>0</v>
      </c>
      <c r="AF254" s="330">
        <v>0</v>
      </c>
      <c r="AG254" s="328">
        <v>0</v>
      </c>
      <c r="AH254" s="329" t="s">
        <v>934</v>
      </c>
      <c r="AI254" s="184">
        <v>103</v>
      </c>
      <c r="AJ254" s="184">
        <v>40</v>
      </c>
      <c r="AK254" s="184">
        <v>39</v>
      </c>
      <c r="AL254" s="184">
        <v>29</v>
      </c>
      <c r="AM254" s="184">
        <v>21</v>
      </c>
      <c r="AN254" s="184">
        <v>1</v>
      </c>
      <c r="AO254" s="184">
        <v>3</v>
      </c>
      <c r="AP254" s="184">
        <v>11</v>
      </c>
      <c r="AQ254" s="336">
        <v>247</v>
      </c>
      <c r="AR254" s="323">
        <v>29</v>
      </c>
      <c r="AS254" s="323">
        <v>11786</v>
      </c>
      <c r="AT254" s="323">
        <v>1200</v>
      </c>
      <c r="AU254" s="323">
        <v>805</v>
      </c>
      <c r="AV254" s="323">
        <v>397</v>
      </c>
      <c r="AW254" s="323">
        <v>144</v>
      </c>
      <c r="AX254" s="323">
        <v>45</v>
      </c>
      <c r="AY254" s="323">
        <v>8</v>
      </c>
      <c r="AZ254" s="323">
        <v>0</v>
      </c>
      <c r="BA254" s="323">
        <v>14414</v>
      </c>
      <c r="BB254" s="331">
        <v>0</v>
      </c>
      <c r="BC254" s="330">
        <v>159</v>
      </c>
      <c r="BD254" s="330">
        <v>27</v>
      </c>
      <c r="BE254" s="330">
        <v>37</v>
      </c>
      <c r="BF254" s="330">
        <v>21</v>
      </c>
      <c r="BG254" s="330">
        <v>9</v>
      </c>
      <c r="BH254" s="330">
        <v>4</v>
      </c>
      <c r="BI254" s="330">
        <v>2</v>
      </c>
      <c r="BJ254" s="330">
        <v>0</v>
      </c>
      <c r="BK254" s="328">
        <v>259</v>
      </c>
      <c r="BL254" s="323">
        <v>1</v>
      </c>
      <c r="BM254" s="323">
        <v>20</v>
      </c>
      <c r="BN254" s="323">
        <v>7</v>
      </c>
      <c r="BO254" s="323">
        <v>3</v>
      </c>
      <c r="BP254" s="323">
        <v>5</v>
      </c>
      <c r="BQ254" s="323">
        <v>0</v>
      </c>
      <c r="BR254" s="323">
        <v>2</v>
      </c>
      <c r="BS254" s="323">
        <v>7</v>
      </c>
      <c r="BT254" s="323">
        <v>0</v>
      </c>
      <c r="BU254" s="323">
        <v>45</v>
      </c>
      <c r="BV254" s="329" t="s">
        <v>934</v>
      </c>
      <c r="BW254" s="330">
        <v>35</v>
      </c>
      <c r="BX254" s="330">
        <v>6</v>
      </c>
      <c r="BY254" s="330">
        <v>2</v>
      </c>
      <c r="BZ254" s="330">
        <v>7</v>
      </c>
      <c r="CA254" s="330">
        <v>1</v>
      </c>
      <c r="CB254" s="330">
        <v>4</v>
      </c>
      <c r="CC254" s="330">
        <v>0</v>
      </c>
      <c r="CD254" s="330">
        <v>0</v>
      </c>
      <c r="CE254" s="328">
        <v>55</v>
      </c>
      <c r="CF254" s="322" t="s">
        <v>934</v>
      </c>
      <c r="CG254" s="323">
        <v>579</v>
      </c>
      <c r="CH254" s="323">
        <v>55</v>
      </c>
      <c r="CI254" s="323">
        <v>37</v>
      </c>
      <c r="CJ254" s="323">
        <v>20</v>
      </c>
      <c r="CK254" s="323">
        <v>8</v>
      </c>
      <c r="CL254" s="323">
        <v>5</v>
      </c>
      <c r="CM254" s="323">
        <v>8</v>
      </c>
      <c r="CN254" s="323">
        <v>5</v>
      </c>
      <c r="CO254" s="323">
        <v>717</v>
      </c>
      <c r="CP254" s="329" t="s">
        <v>934</v>
      </c>
      <c r="CQ254" s="330">
        <v>0</v>
      </c>
      <c r="CR254" s="330">
        <v>0</v>
      </c>
      <c r="CS254" s="330">
        <v>0</v>
      </c>
      <c r="CT254" s="330">
        <v>0</v>
      </c>
      <c r="CU254" s="330">
        <v>0</v>
      </c>
      <c r="CV254" s="330">
        <v>0</v>
      </c>
      <c r="CW254" s="330">
        <v>0</v>
      </c>
      <c r="CX254" s="330">
        <v>0</v>
      </c>
      <c r="CY254" s="328">
        <v>0</v>
      </c>
      <c r="CZ254" s="322" t="s">
        <v>934</v>
      </c>
      <c r="DA254" s="323">
        <v>0</v>
      </c>
      <c r="DB254" s="323">
        <v>0</v>
      </c>
      <c r="DC254" s="323">
        <v>0</v>
      </c>
      <c r="DD254" s="323">
        <v>0</v>
      </c>
      <c r="DE254" s="323">
        <v>0</v>
      </c>
      <c r="DF254" s="323">
        <v>0</v>
      </c>
      <c r="DG254" s="323">
        <v>0</v>
      </c>
      <c r="DH254" s="323">
        <v>0</v>
      </c>
      <c r="DI254" s="323">
        <v>0</v>
      </c>
      <c r="DJ254" s="337">
        <v>0.9</v>
      </c>
      <c r="DK254" s="644">
        <v>26683.4</v>
      </c>
      <c r="DL254" s="616">
        <v>27544</v>
      </c>
      <c r="DM254" s="616">
        <v>4481</v>
      </c>
      <c r="DN254" s="616">
        <v>3856</v>
      </c>
      <c r="DO254" s="616">
        <v>2851</v>
      </c>
      <c r="DP254" s="616">
        <v>1337</v>
      </c>
      <c r="DQ254" s="616">
        <v>421</v>
      </c>
      <c r="DR254" s="616">
        <v>98</v>
      </c>
      <c r="DS254" s="617">
        <v>20</v>
      </c>
      <c r="DT254" s="607">
        <f t="shared" si="3"/>
        <v>40608</v>
      </c>
      <c r="DU254" s="342"/>
      <c r="EC254" s="646"/>
      <c r="EF254" s="125"/>
      <c r="EG254" s="124"/>
    </row>
    <row r="255" spans="1:137" ht="15">
      <c r="A255" s="22">
        <v>247</v>
      </c>
      <c r="B255" s="23" t="s">
        <v>635</v>
      </c>
      <c r="C255" s="24" t="s">
        <v>638</v>
      </c>
      <c r="D255" s="613"/>
      <c r="E255" s="628">
        <v>11534</v>
      </c>
      <c r="F255" s="628">
        <v>11282</v>
      </c>
      <c r="G255" s="628">
        <v>10107</v>
      </c>
      <c r="H255" s="628">
        <v>7247</v>
      </c>
      <c r="I255" s="628">
        <v>4540</v>
      </c>
      <c r="J255" s="628">
        <v>2369</v>
      </c>
      <c r="K255" s="628">
        <v>1342</v>
      </c>
      <c r="L255" s="628">
        <v>59</v>
      </c>
      <c r="M255" s="627">
        <v>48480</v>
      </c>
      <c r="N255" s="322"/>
      <c r="O255" s="323">
        <v>549</v>
      </c>
      <c r="P255" s="323">
        <v>278</v>
      </c>
      <c r="Q255" s="323">
        <v>169</v>
      </c>
      <c r="R255" s="323">
        <v>148</v>
      </c>
      <c r="S255" s="323">
        <v>59</v>
      </c>
      <c r="T255" s="323">
        <v>35</v>
      </c>
      <c r="U255" s="323">
        <v>28</v>
      </c>
      <c r="V255" s="323">
        <v>3</v>
      </c>
      <c r="W255" s="323">
        <v>1269</v>
      </c>
      <c r="X255" s="329" t="s">
        <v>934</v>
      </c>
      <c r="Y255" s="330">
        <v>9</v>
      </c>
      <c r="Z255" s="330">
        <v>1</v>
      </c>
      <c r="AA255" s="330">
        <v>1</v>
      </c>
      <c r="AB255" s="330">
        <v>0</v>
      </c>
      <c r="AC255" s="330">
        <v>1</v>
      </c>
      <c r="AD255" s="330">
        <v>0</v>
      </c>
      <c r="AE255" s="330">
        <v>0</v>
      </c>
      <c r="AF255" s="330">
        <v>0</v>
      </c>
      <c r="AG255" s="328">
        <v>12</v>
      </c>
      <c r="AH255" s="329" t="s">
        <v>934</v>
      </c>
      <c r="AI255" s="184">
        <v>24</v>
      </c>
      <c r="AJ255" s="184">
        <v>50</v>
      </c>
      <c r="AK255" s="184">
        <v>63</v>
      </c>
      <c r="AL255" s="184">
        <v>67</v>
      </c>
      <c r="AM255" s="184">
        <v>40</v>
      </c>
      <c r="AN255" s="184">
        <v>21</v>
      </c>
      <c r="AO255" s="184">
        <v>27</v>
      </c>
      <c r="AP255" s="184">
        <v>17</v>
      </c>
      <c r="AQ255" s="336">
        <v>309</v>
      </c>
      <c r="AR255" s="323">
        <v>7</v>
      </c>
      <c r="AS255" s="323">
        <v>5313</v>
      </c>
      <c r="AT255" s="323">
        <v>3880</v>
      </c>
      <c r="AU255" s="323">
        <v>2796</v>
      </c>
      <c r="AV255" s="323">
        <v>1531</v>
      </c>
      <c r="AW255" s="323">
        <v>730</v>
      </c>
      <c r="AX255" s="323">
        <v>267</v>
      </c>
      <c r="AY255" s="323">
        <v>132</v>
      </c>
      <c r="AZ255" s="323">
        <v>3</v>
      </c>
      <c r="BA255" s="323">
        <v>14659</v>
      </c>
      <c r="BB255" s="331">
        <v>0</v>
      </c>
      <c r="BC255" s="330">
        <v>77</v>
      </c>
      <c r="BD255" s="330">
        <v>87</v>
      </c>
      <c r="BE255" s="330">
        <v>82</v>
      </c>
      <c r="BF255" s="330">
        <v>48</v>
      </c>
      <c r="BG255" s="330">
        <v>22</v>
      </c>
      <c r="BH255" s="330">
        <v>16</v>
      </c>
      <c r="BI255" s="330">
        <v>9</v>
      </c>
      <c r="BJ255" s="330">
        <v>0</v>
      </c>
      <c r="BK255" s="328">
        <v>341</v>
      </c>
      <c r="BL255" s="323">
        <v>0</v>
      </c>
      <c r="BM255" s="323">
        <v>7</v>
      </c>
      <c r="BN255" s="323">
        <v>4</v>
      </c>
      <c r="BO255" s="323">
        <v>7</v>
      </c>
      <c r="BP255" s="323">
        <v>10</v>
      </c>
      <c r="BQ255" s="323">
        <v>5</v>
      </c>
      <c r="BR255" s="323">
        <v>17</v>
      </c>
      <c r="BS255" s="323">
        <v>25</v>
      </c>
      <c r="BT255" s="323">
        <v>1</v>
      </c>
      <c r="BU255" s="323">
        <v>76</v>
      </c>
      <c r="BV255" s="329" t="s">
        <v>934</v>
      </c>
      <c r="BW255" s="330">
        <v>136</v>
      </c>
      <c r="BX255" s="330">
        <v>86</v>
      </c>
      <c r="BY255" s="330">
        <v>80</v>
      </c>
      <c r="BZ255" s="330">
        <v>55</v>
      </c>
      <c r="CA255" s="330">
        <v>35</v>
      </c>
      <c r="CB255" s="330">
        <v>26</v>
      </c>
      <c r="CC255" s="330">
        <v>9</v>
      </c>
      <c r="CD255" s="330">
        <v>2</v>
      </c>
      <c r="CE255" s="328">
        <v>429</v>
      </c>
      <c r="CF255" s="322" t="s">
        <v>934</v>
      </c>
      <c r="CG255" s="323">
        <v>165</v>
      </c>
      <c r="CH255" s="323">
        <v>88</v>
      </c>
      <c r="CI255" s="323">
        <v>62</v>
      </c>
      <c r="CJ255" s="323">
        <v>38</v>
      </c>
      <c r="CK255" s="323">
        <v>27</v>
      </c>
      <c r="CL255" s="323">
        <v>14</v>
      </c>
      <c r="CM255" s="323">
        <v>8</v>
      </c>
      <c r="CN255" s="323">
        <v>5</v>
      </c>
      <c r="CO255" s="323">
        <v>407</v>
      </c>
      <c r="CP255" s="329" t="s">
        <v>934</v>
      </c>
      <c r="CQ255" s="330">
        <v>0</v>
      </c>
      <c r="CR255" s="330">
        <v>0</v>
      </c>
      <c r="CS255" s="330">
        <v>0</v>
      </c>
      <c r="CT255" s="330">
        <v>0</v>
      </c>
      <c r="CU255" s="330">
        <v>0</v>
      </c>
      <c r="CV255" s="330">
        <v>0</v>
      </c>
      <c r="CW255" s="330">
        <v>0</v>
      </c>
      <c r="CX255" s="330">
        <v>0</v>
      </c>
      <c r="CY255" s="328">
        <v>0</v>
      </c>
      <c r="CZ255" s="322" t="s">
        <v>934</v>
      </c>
      <c r="DA255" s="323">
        <v>165</v>
      </c>
      <c r="DB255" s="323">
        <v>88</v>
      </c>
      <c r="DC255" s="323">
        <v>62</v>
      </c>
      <c r="DD255" s="323">
        <v>38</v>
      </c>
      <c r="DE255" s="323">
        <v>27</v>
      </c>
      <c r="DF255" s="323">
        <v>14</v>
      </c>
      <c r="DG255" s="323">
        <v>8</v>
      </c>
      <c r="DH255" s="323">
        <v>5</v>
      </c>
      <c r="DI255" s="323">
        <v>407</v>
      </c>
      <c r="DJ255" s="337">
        <v>0</v>
      </c>
      <c r="DK255" s="644">
        <v>39359.9</v>
      </c>
      <c r="DL255" s="614">
        <v>11847</v>
      </c>
      <c r="DM255" s="614">
        <v>11250</v>
      </c>
      <c r="DN255" s="614">
        <v>10197</v>
      </c>
      <c r="DO255" s="614">
        <v>7270</v>
      </c>
      <c r="DP255" s="614">
        <v>4561</v>
      </c>
      <c r="DQ255" s="614">
        <v>2412</v>
      </c>
      <c r="DR255" s="614">
        <v>1327</v>
      </c>
      <c r="DS255" s="615">
        <v>60</v>
      </c>
      <c r="DT255" s="607">
        <f t="shared" si="3"/>
        <v>48924</v>
      </c>
      <c r="DU255" s="342"/>
      <c r="EC255" s="646"/>
      <c r="EF255" s="126"/>
      <c r="EG255" s="124"/>
    </row>
    <row r="256" spans="1:137" ht="15">
      <c r="A256" s="22">
        <v>248</v>
      </c>
      <c r="B256" s="23" t="s">
        <v>639</v>
      </c>
      <c r="C256" s="24" t="s">
        <v>640</v>
      </c>
      <c r="D256" s="613"/>
      <c r="E256" s="629">
        <v>38904</v>
      </c>
      <c r="F256" s="629">
        <v>25461</v>
      </c>
      <c r="G256" s="629">
        <v>29731</v>
      </c>
      <c r="H256" s="629">
        <v>14613</v>
      </c>
      <c r="I256" s="629">
        <v>8059</v>
      </c>
      <c r="J256" s="629">
        <v>3814</v>
      </c>
      <c r="K256" s="629">
        <v>2829</v>
      </c>
      <c r="L256" s="629">
        <v>233</v>
      </c>
      <c r="M256" s="627">
        <v>123644</v>
      </c>
      <c r="N256" s="322"/>
      <c r="O256" s="323">
        <v>2154</v>
      </c>
      <c r="P256" s="323">
        <v>674</v>
      </c>
      <c r="Q256" s="323">
        <v>696</v>
      </c>
      <c r="R256" s="323">
        <v>266</v>
      </c>
      <c r="S256" s="323">
        <v>128</v>
      </c>
      <c r="T256" s="323">
        <v>76</v>
      </c>
      <c r="U256" s="323">
        <v>56</v>
      </c>
      <c r="V256" s="323">
        <v>6</v>
      </c>
      <c r="W256" s="323">
        <v>4056</v>
      </c>
      <c r="X256" s="329" t="s">
        <v>934</v>
      </c>
      <c r="Y256" s="330">
        <v>75</v>
      </c>
      <c r="Z256" s="330">
        <v>2</v>
      </c>
      <c r="AA256" s="330">
        <v>1</v>
      </c>
      <c r="AB256" s="330">
        <v>1</v>
      </c>
      <c r="AC256" s="330">
        <v>1</v>
      </c>
      <c r="AD256" s="330">
        <v>0</v>
      </c>
      <c r="AE256" s="330">
        <v>0</v>
      </c>
      <c r="AF256" s="330">
        <v>0</v>
      </c>
      <c r="AG256" s="328">
        <v>80</v>
      </c>
      <c r="AH256" s="329" t="s">
        <v>934</v>
      </c>
      <c r="AI256" s="184">
        <v>67</v>
      </c>
      <c r="AJ256" s="184">
        <v>139</v>
      </c>
      <c r="AK256" s="184">
        <v>244</v>
      </c>
      <c r="AL256" s="184">
        <v>149</v>
      </c>
      <c r="AM256" s="184">
        <v>102</v>
      </c>
      <c r="AN256" s="184">
        <v>66</v>
      </c>
      <c r="AO256" s="184">
        <v>90</v>
      </c>
      <c r="AP256" s="184">
        <v>46</v>
      </c>
      <c r="AQ256" s="336">
        <v>903</v>
      </c>
      <c r="AR256" s="323">
        <v>15</v>
      </c>
      <c r="AS256" s="323">
        <v>20595</v>
      </c>
      <c r="AT256" s="323">
        <v>9989</v>
      </c>
      <c r="AU256" s="323">
        <v>8861</v>
      </c>
      <c r="AV256" s="323">
        <v>3568</v>
      </c>
      <c r="AW256" s="323">
        <v>1507</v>
      </c>
      <c r="AX256" s="323">
        <v>617</v>
      </c>
      <c r="AY256" s="323">
        <v>381</v>
      </c>
      <c r="AZ256" s="323">
        <v>18</v>
      </c>
      <c r="BA256" s="323">
        <v>45551</v>
      </c>
      <c r="BB256" s="331">
        <v>3</v>
      </c>
      <c r="BC256" s="330">
        <v>353</v>
      </c>
      <c r="BD256" s="330">
        <v>286</v>
      </c>
      <c r="BE256" s="330">
        <v>332</v>
      </c>
      <c r="BF256" s="330">
        <v>143</v>
      </c>
      <c r="BG256" s="330">
        <v>70</v>
      </c>
      <c r="BH256" s="330">
        <v>37</v>
      </c>
      <c r="BI256" s="330">
        <v>21</v>
      </c>
      <c r="BJ256" s="330">
        <v>0</v>
      </c>
      <c r="BK256" s="328">
        <v>1245</v>
      </c>
      <c r="BL256" s="323">
        <v>0</v>
      </c>
      <c r="BM256" s="323">
        <v>45</v>
      </c>
      <c r="BN256" s="323">
        <v>55</v>
      </c>
      <c r="BO256" s="323">
        <v>44</v>
      </c>
      <c r="BP256" s="323">
        <v>40</v>
      </c>
      <c r="BQ256" s="323">
        <v>35</v>
      </c>
      <c r="BR256" s="323">
        <v>60</v>
      </c>
      <c r="BS256" s="323">
        <v>60</v>
      </c>
      <c r="BT256" s="323">
        <v>4</v>
      </c>
      <c r="BU256" s="323">
        <v>343</v>
      </c>
      <c r="BV256" s="329" t="s">
        <v>934</v>
      </c>
      <c r="BW256" s="330">
        <v>158</v>
      </c>
      <c r="BX256" s="330">
        <v>97</v>
      </c>
      <c r="BY256" s="330">
        <v>139</v>
      </c>
      <c r="BZ256" s="330">
        <v>69</v>
      </c>
      <c r="CA256" s="330">
        <v>54</v>
      </c>
      <c r="CB256" s="330">
        <v>20</v>
      </c>
      <c r="CC256" s="330">
        <v>25</v>
      </c>
      <c r="CD256" s="330">
        <v>5</v>
      </c>
      <c r="CE256" s="328">
        <v>567</v>
      </c>
      <c r="CF256" s="322" t="s">
        <v>934</v>
      </c>
      <c r="CG256" s="323">
        <v>9</v>
      </c>
      <c r="CH256" s="323">
        <v>3</v>
      </c>
      <c r="CI256" s="323">
        <v>2</v>
      </c>
      <c r="CJ256" s="323">
        <v>4</v>
      </c>
      <c r="CK256" s="323">
        <v>1</v>
      </c>
      <c r="CL256" s="323">
        <v>1</v>
      </c>
      <c r="CM256" s="323">
        <v>0</v>
      </c>
      <c r="CN256" s="323">
        <v>0</v>
      </c>
      <c r="CO256" s="323">
        <v>20</v>
      </c>
      <c r="CP256" s="329" t="s">
        <v>934</v>
      </c>
      <c r="CQ256" s="330">
        <v>1555</v>
      </c>
      <c r="CR256" s="330">
        <v>394</v>
      </c>
      <c r="CS256" s="330">
        <v>366</v>
      </c>
      <c r="CT256" s="330">
        <v>194</v>
      </c>
      <c r="CU256" s="330">
        <v>72</v>
      </c>
      <c r="CV256" s="330">
        <v>36</v>
      </c>
      <c r="CW256" s="330">
        <v>42</v>
      </c>
      <c r="CX256" s="330">
        <v>11</v>
      </c>
      <c r="CY256" s="328">
        <v>2670</v>
      </c>
      <c r="CZ256" s="322" t="s">
        <v>934</v>
      </c>
      <c r="DA256" s="323">
        <v>0</v>
      </c>
      <c r="DB256" s="323">
        <v>0</v>
      </c>
      <c r="DC256" s="323">
        <v>0</v>
      </c>
      <c r="DD256" s="323">
        <v>0</v>
      </c>
      <c r="DE256" s="323">
        <v>0</v>
      </c>
      <c r="DF256" s="323">
        <v>0</v>
      </c>
      <c r="DG256" s="323">
        <v>0</v>
      </c>
      <c r="DH256" s="323">
        <v>0</v>
      </c>
      <c r="DI256" s="323">
        <v>0</v>
      </c>
      <c r="DJ256" s="337">
        <v>6</v>
      </c>
      <c r="DK256" s="644">
        <v>94096.5</v>
      </c>
      <c r="DL256" s="616">
        <v>38852</v>
      </c>
      <c r="DM256" s="616">
        <v>25744</v>
      </c>
      <c r="DN256" s="616">
        <v>29790</v>
      </c>
      <c r="DO256" s="616">
        <v>14748</v>
      </c>
      <c r="DP256" s="616">
        <v>8037</v>
      </c>
      <c r="DQ256" s="616">
        <v>3803</v>
      </c>
      <c r="DR256" s="616">
        <v>2820</v>
      </c>
      <c r="DS256" s="617">
        <v>230</v>
      </c>
      <c r="DT256" s="607">
        <f t="shared" si="3"/>
        <v>124024</v>
      </c>
      <c r="DU256" s="342"/>
      <c r="EC256" s="646"/>
      <c r="EF256" s="130"/>
      <c r="EG256" s="124"/>
    </row>
    <row r="257" spans="1:137" ht="15">
      <c r="A257" s="22">
        <v>249</v>
      </c>
      <c r="B257" s="23" t="s">
        <v>641</v>
      </c>
      <c r="C257" s="24" t="s">
        <v>642</v>
      </c>
      <c r="D257" s="613"/>
      <c r="E257" s="626">
        <v>8144</v>
      </c>
      <c r="F257" s="626">
        <v>7022</v>
      </c>
      <c r="G257" s="626">
        <v>6871</v>
      </c>
      <c r="H257" s="626">
        <v>4954</v>
      </c>
      <c r="I257" s="626">
        <v>3770</v>
      </c>
      <c r="J257" s="626">
        <v>2199</v>
      </c>
      <c r="K257" s="626">
        <v>851</v>
      </c>
      <c r="L257" s="626">
        <v>56</v>
      </c>
      <c r="M257" s="627">
        <v>33867</v>
      </c>
      <c r="N257" s="322"/>
      <c r="O257" s="323">
        <v>303</v>
      </c>
      <c r="P257" s="323">
        <v>196</v>
      </c>
      <c r="Q257" s="323">
        <v>111</v>
      </c>
      <c r="R257" s="323">
        <v>80</v>
      </c>
      <c r="S257" s="323">
        <v>54</v>
      </c>
      <c r="T257" s="323">
        <v>28</v>
      </c>
      <c r="U257" s="323">
        <v>16</v>
      </c>
      <c r="V257" s="323">
        <v>4</v>
      </c>
      <c r="W257" s="323">
        <v>792</v>
      </c>
      <c r="X257" s="329" t="s">
        <v>934</v>
      </c>
      <c r="Y257" s="330">
        <v>0</v>
      </c>
      <c r="Z257" s="330">
        <v>0</v>
      </c>
      <c r="AA257" s="330">
        <v>0</v>
      </c>
      <c r="AB257" s="330">
        <v>0</v>
      </c>
      <c r="AC257" s="330">
        <v>0</v>
      </c>
      <c r="AD257" s="330">
        <v>0</v>
      </c>
      <c r="AE257" s="330">
        <v>0</v>
      </c>
      <c r="AF257" s="330">
        <v>0</v>
      </c>
      <c r="AG257" s="328">
        <v>0</v>
      </c>
      <c r="AH257" s="329" t="s">
        <v>934</v>
      </c>
      <c r="AI257" s="184">
        <v>34</v>
      </c>
      <c r="AJ257" s="184">
        <v>35</v>
      </c>
      <c r="AK257" s="184">
        <v>39</v>
      </c>
      <c r="AL257" s="184">
        <v>41</v>
      </c>
      <c r="AM257" s="184">
        <v>29</v>
      </c>
      <c r="AN257" s="184">
        <v>18</v>
      </c>
      <c r="AO257" s="184">
        <v>16</v>
      </c>
      <c r="AP257" s="184">
        <v>3</v>
      </c>
      <c r="AQ257" s="336">
        <v>215</v>
      </c>
      <c r="AR257" s="323">
        <v>8</v>
      </c>
      <c r="AS257" s="323">
        <v>3750</v>
      </c>
      <c r="AT257" s="323">
        <v>2404</v>
      </c>
      <c r="AU257" s="323">
        <v>1800</v>
      </c>
      <c r="AV257" s="323">
        <v>959</v>
      </c>
      <c r="AW257" s="323">
        <v>507</v>
      </c>
      <c r="AX257" s="323">
        <v>259</v>
      </c>
      <c r="AY257" s="323">
        <v>101</v>
      </c>
      <c r="AZ257" s="323">
        <v>2</v>
      </c>
      <c r="BA257" s="323">
        <v>9790</v>
      </c>
      <c r="BB257" s="331">
        <v>2</v>
      </c>
      <c r="BC257" s="330">
        <v>40</v>
      </c>
      <c r="BD257" s="330">
        <v>31</v>
      </c>
      <c r="BE257" s="330">
        <v>40</v>
      </c>
      <c r="BF257" s="330">
        <v>21</v>
      </c>
      <c r="BG257" s="330">
        <v>15</v>
      </c>
      <c r="BH257" s="330">
        <v>8</v>
      </c>
      <c r="BI257" s="330">
        <v>5</v>
      </c>
      <c r="BJ257" s="330">
        <v>0</v>
      </c>
      <c r="BK257" s="328">
        <v>162</v>
      </c>
      <c r="BL257" s="323">
        <v>0</v>
      </c>
      <c r="BM257" s="323">
        <v>3</v>
      </c>
      <c r="BN257" s="323">
        <v>8</v>
      </c>
      <c r="BO257" s="323">
        <v>5</v>
      </c>
      <c r="BP257" s="323">
        <v>4</v>
      </c>
      <c r="BQ257" s="323">
        <v>3</v>
      </c>
      <c r="BR257" s="323">
        <v>16</v>
      </c>
      <c r="BS257" s="323">
        <v>5</v>
      </c>
      <c r="BT257" s="323">
        <v>1</v>
      </c>
      <c r="BU257" s="323">
        <v>45</v>
      </c>
      <c r="BV257" s="329" t="s">
        <v>934</v>
      </c>
      <c r="BW257" s="330">
        <v>12</v>
      </c>
      <c r="BX257" s="330">
        <v>14</v>
      </c>
      <c r="BY257" s="330">
        <v>13</v>
      </c>
      <c r="BZ257" s="330">
        <v>12</v>
      </c>
      <c r="CA257" s="330">
        <v>10</v>
      </c>
      <c r="CB257" s="330">
        <v>6</v>
      </c>
      <c r="CC257" s="330">
        <v>5</v>
      </c>
      <c r="CD257" s="330">
        <v>1</v>
      </c>
      <c r="CE257" s="328">
        <v>73</v>
      </c>
      <c r="CF257" s="322" t="s">
        <v>934</v>
      </c>
      <c r="CG257" s="323">
        <v>0</v>
      </c>
      <c r="CH257" s="323">
        <v>0</v>
      </c>
      <c r="CI257" s="323">
        <v>0</v>
      </c>
      <c r="CJ257" s="323">
        <v>0</v>
      </c>
      <c r="CK257" s="323">
        <v>0</v>
      </c>
      <c r="CL257" s="323">
        <v>0</v>
      </c>
      <c r="CM257" s="323">
        <v>0</v>
      </c>
      <c r="CN257" s="323">
        <v>0</v>
      </c>
      <c r="CO257" s="323">
        <v>0</v>
      </c>
      <c r="CP257" s="329" t="s">
        <v>934</v>
      </c>
      <c r="CQ257" s="330">
        <v>0</v>
      </c>
      <c r="CR257" s="330">
        <v>0</v>
      </c>
      <c r="CS257" s="330">
        <v>0</v>
      </c>
      <c r="CT257" s="330">
        <v>0</v>
      </c>
      <c r="CU257" s="330">
        <v>0</v>
      </c>
      <c r="CV257" s="330">
        <v>0</v>
      </c>
      <c r="CW257" s="330">
        <v>0</v>
      </c>
      <c r="CX257" s="330">
        <v>0</v>
      </c>
      <c r="CY257" s="328">
        <v>0</v>
      </c>
      <c r="CZ257" s="322" t="s">
        <v>934</v>
      </c>
      <c r="DA257" s="323">
        <v>148</v>
      </c>
      <c r="DB257" s="323">
        <v>121</v>
      </c>
      <c r="DC257" s="323">
        <v>63</v>
      </c>
      <c r="DD257" s="323">
        <v>63</v>
      </c>
      <c r="DE257" s="323">
        <v>47</v>
      </c>
      <c r="DF257" s="323">
        <v>24</v>
      </c>
      <c r="DG257" s="323">
        <v>18</v>
      </c>
      <c r="DH257" s="323">
        <v>1</v>
      </c>
      <c r="DI257" s="323">
        <v>485</v>
      </c>
      <c r="DJ257" s="337">
        <v>0</v>
      </c>
      <c r="DK257" s="644">
        <v>28392.3</v>
      </c>
      <c r="DL257" s="614">
        <v>8243</v>
      </c>
      <c r="DM257" s="614">
        <v>7251</v>
      </c>
      <c r="DN257" s="614">
        <v>7149</v>
      </c>
      <c r="DO257" s="614">
        <v>5093</v>
      </c>
      <c r="DP257" s="614">
        <v>3878</v>
      </c>
      <c r="DQ257" s="614">
        <v>2246</v>
      </c>
      <c r="DR257" s="614">
        <v>863</v>
      </c>
      <c r="DS257" s="615">
        <v>56</v>
      </c>
      <c r="DT257" s="607">
        <f t="shared" si="3"/>
        <v>34779</v>
      </c>
      <c r="DU257" s="342"/>
      <c r="EC257" s="646"/>
      <c r="EF257" s="123"/>
      <c r="EG257" s="124"/>
    </row>
    <row r="258" spans="1:137" ht="15">
      <c r="A258" s="22">
        <v>250</v>
      </c>
      <c r="B258" s="23" t="s">
        <v>643</v>
      </c>
      <c r="C258" s="24" t="s">
        <v>644</v>
      </c>
      <c r="D258" s="613"/>
      <c r="E258" s="626">
        <v>1662</v>
      </c>
      <c r="F258" s="626">
        <v>2984</v>
      </c>
      <c r="G258" s="626">
        <v>10120</v>
      </c>
      <c r="H258" s="626">
        <v>11378</v>
      </c>
      <c r="I258" s="626">
        <v>7084</v>
      </c>
      <c r="J258" s="626">
        <v>5699</v>
      </c>
      <c r="K258" s="626">
        <v>7096</v>
      </c>
      <c r="L258" s="626">
        <v>1094</v>
      </c>
      <c r="M258" s="627">
        <v>47117</v>
      </c>
      <c r="N258" s="322"/>
      <c r="O258" s="323">
        <v>116</v>
      </c>
      <c r="P258" s="323">
        <v>124</v>
      </c>
      <c r="Q258" s="323">
        <v>237</v>
      </c>
      <c r="R258" s="323">
        <v>221</v>
      </c>
      <c r="S258" s="323">
        <v>152</v>
      </c>
      <c r="T258" s="323">
        <v>103</v>
      </c>
      <c r="U258" s="323">
        <v>102</v>
      </c>
      <c r="V258" s="323">
        <v>20</v>
      </c>
      <c r="W258" s="323">
        <v>1075</v>
      </c>
      <c r="X258" s="329" t="s">
        <v>934</v>
      </c>
      <c r="Y258" s="330">
        <v>0</v>
      </c>
      <c r="Z258" s="330">
        <v>0</v>
      </c>
      <c r="AA258" s="330">
        <v>0</v>
      </c>
      <c r="AB258" s="330">
        <v>1</v>
      </c>
      <c r="AC258" s="330">
        <v>0</v>
      </c>
      <c r="AD258" s="330">
        <v>0</v>
      </c>
      <c r="AE258" s="330">
        <v>0</v>
      </c>
      <c r="AF258" s="330">
        <v>0</v>
      </c>
      <c r="AG258" s="328">
        <v>1</v>
      </c>
      <c r="AH258" s="329" t="s">
        <v>934</v>
      </c>
      <c r="AI258" s="184">
        <v>3</v>
      </c>
      <c r="AJ258" s="184">
        <v>4</v>
      </c>
      <c r="AK258" s="184">
        <v>32</v>
      </c>
      <c r="AL258" s="184">
        <v>56</v>
      </c>
      <c r="AM258" s="184">
        <v>45</v>
      </c>
      <c r="AN258" s="184">
        <v>25</v>
      </c>
      <c r="AO258" s="184">
        <v>42</v>
      </c>
      <c r="AP258" s="184">
        <v>13</v>
      </c>
      <c r="AQ258" s="336">
        <v>220</v>
      </c>
      <c r="AR258" s="323">
        <v>2</v>
      </c>
      <c r="AS258" s="323">
        <v>964</v>
      </c>
      <c r="AT258" s="323">
        <v>1887</v>
      </c>
      <c r="AU258" s="323">
        <v>3991</v>
      </c>
      <c r="AV258" s="323">
        <v>3205</v>
      </c>
      <c r="AW258" s="323">
        <v>1649</v>
      </c>
      <c r="AX258" s="323">
        <v>1073</v>
      </c>
      <c r="AY258" s="323">
        <v>971</v>
      </c>
      <c r="AZ258" s="323">
        <v>76</v>
      </c>
      <c r="BA258" s="323">
        <v>13818</v>
      </c>
      <c r="BB258" s="331">
        <v>1</v>
      </c>
      <c r="BC258" s="330">
        <v>0</v>
      </c>
      <c r="BD258" s="330">
        <v>12</v>
      </c>
      <c r="BE258" s="330">
        <v>54</v>
      </c>
      <c r="BF258" s="330">
        <v>67</v>
      </c>
      <c r="BG258" s="330">
        <v>27</v>
      </c>
      <c r="BH258" s="330">
        <v>40</v>
      </c>
      <c r="BI258" s="330">
        <v>31</v>
      </c>
      <c r="BJ258" s="330">
        <v>3</v>
      </c>
      <c r="BK258" s="328">
        <v>235</v>
      </c>
      <c r="BL258" s="323">
        <v>0</v>
      </c>
      <c r="BM258" s="323">
        <v>0</v>
      </c>
      <c r="BN258" s="323">
        <v>1</v>
      </c>
      <c r="BO258" s="323">
        <v>5</v>
      </c>
      <c r="BP258" s="323">
        <v>4</v>
      </c>
      <c r="BQ258" s="323">
        <v>2</v>
      </c>
      <c r="BR258" s="323">
        <v>9</v>
      </c>
      <c r="BS258" s="323">
        <v>20</v>
      </c>
      <c r="BT258" s="323">
        <v>7</v>
      </c>
      <c r="BU258" s="323">
        <v>48</v>
      </c>
      <c r="BV258" s="329" t="s">
        <v>934</v>
      </c>
      <c r="BW258" s="330">
        <v>12</v>
      </c>
      <c r="BX258" s="330">
        <v>8</v>
      </c>
      <c r="BY258" s="330">
        <v>16</v>
      </c>
      <c r="BZ258" s="330">
        <v>27</v>
      </c>
      <c r="CA258" s="330">
        <v>17</v>
      </c>
      <c r="CB258" s="330">
        <v>30</v>
      </c>
      <c r="CC258" s="330">
        <v>31</v>
      </c>
      <c r="CD258" s="330">
        <v>7</v>
      </c>
      <c r="CE258" s="328">
        <v>148</v>
      </c>
      <c r="CF258" s="322" t="s">
        <v>934</v>
      </c>
      <c r="CG258" s="323">
        <v>0</v>
      </c>
      <c r="CH258" s="323">
        <v>0</v>
      </c>
      <c r="CI258" s="323">
        <v>0</v>
      </c>
      <c r="CJ258" s="323">
        <v>0</v>
      </c>
      <c r="CK258" s="323">
        <v>0</v>
      </c>
      <c r="CL258" s="323">
        <v>0</v>
      </c>
      <c r="CM258" s="323">
        <v>0</v>
      </c>
      <c r="CN258" s="323">
        <v>0</v>
      </c>
      <c r="CO258" s="323">
        <v>0</v>
      </c>
      <c r="CP258" s="329" t="s">
        <v>934</v>
      </c>
      <c r="CQ258" s="330">
        <v>33</v>
      </c>
      <c r="CR258" s="330">
        <v>31</v>
      </c>
      <c r="CS258" s="330">
        <v>75</v>
      </c>
      <c r="CT258" s="330">
        <v>95</v>
      </c>
      <c r="CU258" s="330">
        <v>56</v>
      </c>
      <c r="CV258" s="330">
        <v>41</v>
      </c>
      <c r="CW258" s="330">
        <v>43</v>
      </c>
      <c r="CX258" s="330">
        <v>12</v>
      </c>
      <c r="CY258" s="328">
        <v>386</v>
      </c>
      <c r="CZ258" s="322" t="s">
        <v>934</v>
      </c>
      <c r="DA258" s="323">
        <v>0</v>
      </c>
      <c r="DB258" s="323">
        <v>0</v>
      </c>
      <c r="DC258" s="323">
        <v>0</v>
      </c>
      <c r="DD258" s="323">
        <v>0</v>
      </c>
      <c r="DE258" s="323">
        <v>0</v>
      </c>
      <c r="DF258" s="323">
        <v>0</v>
      </c>
      <c r="DG258" s="323">
        <v>0</v>
      </c>
      <c r="DH258" s="323">
        <v>0</v>
      </c>
      <c r="DI258" s="323">
        <v>0</v>
      </c>
      <c r="DJ258" s="337">
        <v>13.7</v>
      </c>
      <c r="DK258" s="644">
        <v>49783.4</v>
      </c>
      <c r="DL258" s="614">
        <v>1674</v>
      </c>
      <c r="DM258" s="614">
        <v>3008</v>
      </c>
      <c r="DN258" s="614">
        <v>10160</v>
      </c>
      <c r="DO258" s="614">
        <v>11451</v>
      </c>
      <c r="DP258" s="614">
        <v>7102</v>
      </c>
      <c r="DQ258" s="614">
        <v>5713</v>
      </c>
      <c r="DR258" s="614">
        <v>7124</v>
      </c>
      <c r="DS258" s="615">
        <v>1105</v>
      </c>
      <c r="DT258" s="607">
        <f t="shared" si="3"/>
        <v>47337</v>
      </c>
      <c r="DU258" s="342"/>
      <c r="EC258" s="646"/>
      <c r="EF258" s="123"/>
      <c r="EG258" s="124"/>
    </row>
    <row r="259" spans="1:137" ht="15">
      <c r="A259" s="22">
        <v>251</v>
      </c>
      <c r="B259" s="23" t="s">
        <v>645</v>
      </c>
      <c r="C259" s="24" t="s">
        <v>646</v>
      </c>
      <c r="D259" s="613"/>
      <c r="E259" s="626">
        <v>139138</v>
      </c>
      <c r="F259" s="626">
        <v>34676</v>
      </c>
      <c r="G259" s="626">
        <v>27277</v>
      </c>
      <c r="H259" s="626">
        <v>14483</v>
      </c>
      <c r="I259" s="626">
        <v>8315</v>
      </c>
      <c r="J259" s="626">
        <v>3932</v>
      </c>
      <c r="K259" s="626">
        <v>2551</v>
      </c>
      <c r="L259" s="626">
        <v>158</v>
      </c>
      <c r="M259" s="627">
        <v>230530</v>
      </c>
      <c r="N259" s="322"/>
      <c r="O259" s="323">
        <v>7980</v>
      </c>
      <c r="P259" s="323">
        <v>2372</v>
      </c>
      <c r="Q259" s="323">
        <v>1143</v>
      </c>
      <c r="R259" s="323">
        <v>418</v>
      </c>
      <c r="S259" s="323">
        <v>193</v>
      </c>
      <c r="T259" s="323">
        <v>76</v>
      </c>
      <c r="U259" s="323">
        <v>41</v>
      </c>
      <c r="V259" s="323">
        <v>18</v>
      </c>
      <c r="W259" s="323">
        <v>12241</v>
      </c>
      <c r="X259" s="329" t="s">
        <v>934</v>
      </c>
      <c r="Y259" s="330">
        <v>1</v>
      </c>
      <c r="Z259" s="330">
        <v>3</v>
      </c>
      <c r="AA259" s="330">
        <v>0</v>
      </c>
      <c r="AB259" s="330">
        <v>0</v>
      </c>
      <c r="AC259" s="330">
        <v>0</v>
      </c>
      <c r="AD259" s="330">
        <v>1</v>
      </c>
      <c r="AE259" s="330">
        <v>1</v>
      </c>
      <c r="AF259" s="330">
        <v>0</v>
      </c>
      <c r="AG259" s="328">
        <v>6</v>
      </c>
      <c r="AH259" s="329" t="s">
        <v>934</v>
      </c>
      <c r="AI259" s="184">
        <v>331</v>
      </c>
      <c r="AJ259" s="184">
        <v>196</v>
      </c>
      <c r="AK259" s="184">
        <v>175</v>
      </c>
      <c r="AL259" s="184">
        <v>124</v>
      </c>
      <c r="AM259" s="184">
        <v>87</v>
      </c>
      <c r="AN259" s="184">
        <v>42</v>
      </c>
      <c r="AO259" s="184">
        <v>87</v>
      </c>
      <c r="AP259" s="184">
        <v>37</v>
      </c>
      <c r="AQ259" s="336">
        <v>1079</v>
      </c>
      <c r="AR259" s="323">
        <v>84</v>
      </c>
      <c r="AS259" s="323">
        <v>62248</v>
      </c>
      <c r="AT259" s="323">
        <v>9022</v>
      </c>
      <c r="AU259" s="323">
        <v>6428</v>
      </c>
      <c r="AV259" s="323">
        <v>2910</v>
      </c>
      <c r="AW259" s="323">
        <v>1372</v>
      </c>
      <c r="AX259" s="323">
        <v>591</v>
      </c>
      <c r="AY259" s="323">
        <v>296</v>
      </c>
      <c r="AZ259" s="323">
        <v>11</v>
      </c>
      <c r="BA259" s="323">
        <v>82962</v>
      </c>
      <c r="BB259" s="331">
        <v>6</v>
      </c>
      <c r="BC259" s="330">
        <v>1149</v>
      </c>
      <c r="BD259" s="330">
        <v>308</v>
      </c>
      <c r="BE259" s="330">
        <v>220</v>
      </c>
      <c r="BF259" s="330">
        <v>107</v>
      </c>
      <c r="BG259" s="330">
        <v>51</v>
      </c>
      <c r="BH259" s="330">
        <v>22</v>
      </c>
      <c r="BI259" s="330">
        <v>7</v>
      </c>
      <c r="BJ259" s="330">
        <v>1</v>
      </c>
      <c r="BK259" s="328">
        <v>1871</v>
      </c>
      <c r="BL259" s="323">
        <v>6</v>
      </c>
      <c r="BM259" s="323">
        <v>230</v>
      </c>
      <c r="BN259" s="323">
        <v>37</v>
      </c>
      <c r="BO259" s="323">
        <v>33</v>
      </c>
      <c r="BP259" s="323">
        <v>29</v>
      </c>
      <c r="BQ259" s="323">
        <v>20</v>
      </c>
      <c r="BR259" s="323">
        <v>72</v>
      </c>
      <c r="BS259" s="323">
        <v>47</v>
      </c>
      <c r="BT259" s="323">
        <v>16</v>
      </c>
      <c r="BU259" s="323">
        <v>490</v>
      </c>
      <c r="BV259" s="329" t="s">
        <v>934</v>
      </c>
      <c r="BW259" s="330">
        <v>490</v>
      </c>
      <c r="BX259" s="330">
        <v>180</v>
      </c>
      <c r="BY259" s="330">
        <v>130</v>
      </c>
      <c r="BZ259" s="330">
        <v>40</v>
      </c>
      <c r="CA259" s="330">
        <v>29</v>
      </c>
      <c r="CB259" s="330">
        <v>12</v>
      </c>
      <c r="CC259" s="330">
        <v>7</v>
      </c>
      <c r="CD259" s="330">
        <v>1</v>
      </c>
      <c r="CE259" s="328">
        <v>889</v>
      </c>
      <c r="CF259" s="322" t="s">
        <v>934</v>
      </c>
      <c r="CG259" s="323">
        <v>16</v>
      </c>
      <c r="CH259" s="323">
        <v>5</v>
      </c>
      <c r="CI259" s="323">
        <v>5</v>
      </c>
      <c r="CJ259" s="323">
        <v>3</v>
      </c>
      <c r="CK259" s="323">
        <v>0</v>
      </c>
      <c r="CL259" s="323">
        <v>0</v>
      </c>
      <c r="CM259" s="323">
        <v>0</v>
      </c>
      <c r="CN259" s="323">
        <v>0</v>
      </c>
      <c r="CO259" s="323">
        <v>29</v>
      </c>
      <c r="CP259" s="329" t="s">
        <v>934</v>
      </c>
      <c r="CQ259" s="330">
        <v>0</v>
      </c>
      <c r="CR259" s="330">
        <v>0</v>
      </c>
      <c r="CS259" s="330">
        <v>0</v>
      </c>
      <c r="CT259" s="330">
        <v>0</v>
      </c>
      <c r="CU259" s="330">
        <v>0</v>
      </c>
      <c r="CV259" s="330">
        <v>0</v>
      </c>
      <c r="CW259" s="330">
        <v>0</v>
      </c>
      <c r="CX259" s="330">
        <v>0</v>
      </c>
      <c r="CY259" s="328">
        <v>0</v>
      </c>
      <c r="CZ259" s="322" t="s">
        <v>934</v>
      </c>
      <c r="DA259" s="323">
        <v>2843</v>
      </c>
      <c r="DB259" s="323">
        <v>463</v>
      </c>
      <c r="DC259" s="323">
        <v>301</v>
      </c>
      <c r="DD259" s="323">
        <v>131</v>
      </c>
      <c r="DE259" s="323">
        <v>52</v>
      </c>
      <c r="DF259" s="323">
        <v>29</v>
      </c>
      <c r="DG259" s="323">
        <v>25</v>
      </c>
      <c r="DH259" s="323">
        <v>5</v>
      </c>
      <c r="DI259" s="323">
        <v>3849</v>
      </c>
      <c r="DJ259" s="337">
        <v>9</v>
      </c>
      <c r="DK259" s="644">
        <v>153380</v>
      </c>
      <c r="DL259" s="614">
        <v>139074</v>
      </c>
      <c r="DM259" s="614">
        <v>35159</v>
      </c>
      <c r="DN259" s="614">
        <v>27940</v>
      </c>
      <c r="DO259" s="614">
        <v>14547</v>
      </c>
      <c r="DP259" s="614">
        <v>8365</v>
      </c>
      <c r="DQ259" s="614">
        <v>3948</v>
      </c>
      <c r="DR259" s="614">
        <v>2561</v>
      </c>
      <c r="DS259" s="615">
        <v>158</v>
      </c>
      <c r="DT259" s="607">
        <f t="shared" si="3"/>
        <v>231752</v>
      </c>
      <c r="DU259" s="342"/>
      <c r="EC259" s="646"/>
      <c r="EF259" s="123"/>
      <c r="EG259" s="124"/>
    </row>
    <row r="260" spans="1:137" ht="15">
      <c r="A260" s="22">
        <v>252</v>
      </c>
      <c r="B260" s="23" t="s">
        <v>647</v>
      </c>
      <c r="C260" s="24" t="s">
        <v>648</v>
      </c>
      <c r="D260" s="613"/>
      <c r="E260" s="626">
        <v>6216</v>
      </c>
      <c r="F260" s="626">
        <v>11610</v>
      </c>
      <c r="G260" s="626">
        <v>13336</v>
      </c>
      <c r="H260" s="626">
        <v>7239</v>
      </c>
      <c r="I260" s="626">
        <v>4487</v>
      </c>
      <c r="J260" s="626">
        <v>2376</v>
      </c>
      <c r="K260" s="626">
        <v>1726</v>
      </c>
      <c r="L260" s="626">
        <v>86</v>
      </c>
      <c r="M260" s="627">
        <v>47076</v>
      </c>
      <c r="N260" s="322"/>
      <c r="O260" s="323">
        <v>423</v>
      </c>
      <c r="P260" s="323">
        <v>577</v>
      </c>
      <c r="Q260" s="323">
        <v>403</v>
      </c>
      <c r="R260" s="323">
        <v>133</v>
      </c>
      <c r="S260" s="323">
        <v>93</v>
      </c>
      <c r="T260" s="323">
        <v>69</v>
      </c>
      <c r="U260" s="323">
        <v>34</v>
      </c>
      <c r="V260" s="323">
        <v>2</v>
      </c>
      <c r="W260" s="323">
        <v>1734</v>
      </c>
      <c r="X260" s="329" t="s">
        <v>934</v>
      </c>
      <c r="Y260" s="330">
        <v>1</v>
      </c>
      <c r="Z260" s="330">
        <v>2</v>
      </c>
      <c r="AA260" s="330">
        <v>1</v>
      </c>
      <c r="AB260" s="330">
        <v>0</v>
      </c>
      <c r="AC260" s="330">
        <v>1</v>
      </c>
      <c r="AD260" s="330">
        <v>0</v>
      </c>
      <c r="AE260" s="330">
        <v>0</v>
      </c>
      <c r="AF260" s="330">
        <v>0</v>
      </c>
      <c r="AG260" s="328">
        <v>5</v>
      </c>
      <c r="AH260" s="329" t="s">
        <v>934</v>
      </c>
      <c r="AI260" s="184">
        <v>9</v>
      </c>
      <c r="AJ260" s="184">
        <v>42</v>
      </c>
      <c r="AK260" s="184">
        <v>92</v>
      </c>
      <c r="AL260" s="184">
        <v>64</v>
      </c>
      <c r="AM260" s="184">
        <v>48</v>
      </c>
      <c r="AN260" s="184">
        <v>40</v>
      </c>
      <c r="AO260" s="184">
        <v>46</v>
      </c>
      <c r="AP260" s="184">
        <v>28</v>
      </c>
      <c r="AQ260" s="336">
        <v>369</v>
      </c>
      <c r="AR260" s="323">
        <v>4</v>
      </c>
      <c r="AS260" s="323">
        <v>3509</v>
      </c>
      <c r="AT260" s="323">
        <v>4730</v>
      </c>
      <c r="AU260" s="323">
        <v>4168</v>
      </c>
      <c r="AV260" s="323">
        <v>1744</v>
      </c>
      <c r="AW260" s="323">
        <v>899</v>
      </c>
      <c r="AX260" s="323">
        <v>363</v>
      </c>
      <c r="AY260" s="323">
        <v>213</v>
      </c>
      <c r="AZ260" s="323">
        <v>5</v>
      </c>
      <c r="BA260" s="323">
        <v>15635</v>
      </c>
      <c r="BB260" s="331">
        <v>1</v>
      </c>
      <c r="BC260" s="330">
        <v>22</v>
      </c>
      <c r="BD260" s="330">
        <v>82</v>
      </c>
      <c r="BE260" s="330">
        <v>71</v>
      </c>
      <c r="BF260" s="330">
        <v>42</v>
      </c>
      <c r="BG260" s="330">
        <v>16</v>
      </c>
      <c r="BH260" s="330">
        <v>13</v>
      </c>
      <c r="BI260" s="330">
        <v>4</v>
      </c>
      <c r="BJ260" s="330">
        <v>0</v>
      </c>
      <c r="BK260" s="328">
        <v>251</v>
      </c>
      <c r="BL260" s="323">
        <v>0</v>
      </c>
      <c r="BM260" s="323">
        <v>3</v>
      </c>
      <c r="BN260" s="323">
        <v>5</v>
      </c>
      <c r="BO260" s="323">
        <v>13</v>
      </c>
      <c r="BP260" s="323">
        <v>23</v>
      </c>
      <c r="BQ260" s="323">
        <v>23</v>
      </c>
      <c r="BR260" s="323">
        <v>35</v>
      </c>
      <c r="BS260" s="323">
        <v>42</v>
      </c>
      <c r="BT260" s="323">
        <v>4</v>
      </c>
      <c r="BU260" s="323">
        <v>148</v>
      </c>
      <c r="BV260" s="329" t="s">
        <v>934</v>
      </c>
      <c r="BW260" s="330">
        <v>122</v>
      </c>
      <c r="BX260" s="330">
        <v>187</v>
      </c>
      <c r="BY260" s="330">
        <v>308</v>
      </c>
      <c r="BZ260" s="330">
        <v>168</v>
      </c>
      <c r="CA260" s="330">
        <v>77</v>
      </c>
      <c r="CB260" s="330">
        <v>55</v>
      </c>
      <c r="CC260" s="330">
        <v>49</v>
      </c>
      <c r="CD260" s="330">
        <v>3</v>
      </c>
      <c r="CE260" s="328">
        <v>969</v>
      </c>
      <c r="CF260" s="322" t="s">
        <v>934</v>
      </c>
      <c r="CG260" s="323">
        <v>2</v>
      </c>
      <c r="CH260" s="323">
        <v>0</v>
      </c>
      <c r="CI260" s="323">
        <v>0</v>
      </c>
      <c r="CJ260" s="323">
        <v>0</v>
      </c>
      <c r="CK260" s="323">
        <v>0</v>
      </c>
      <c r="CL260" s="323">
        <v>0</v>
      </c>
      <c r="CM260" s="323">
        <v>1</v>
      </c>
      <c r="CN260" s="323">
        <v>0</v>
      </c>
      <c r="CO260" s="323">
        <v>3</v>
      </c>
      <c r="CP260" s="329" t="s">
        <v>934</v>
      </c>
      <c r="CQ260" s="330">
        <v>0</v>
      </c>
      <c r="CR260" s="330">
        <v>0</v>
      </c>
      <c r="CS260" s="330">
        <v>0</v>
      </c>
      <c r="CT260" s="330">
        <v>0</v>
      </c>
      <c r="CU260" s="330">
        <v>0</v>
      </c>
      <c r="CV260" s="330">
        <v>0</v>
      </c>
      <c r="CW260" s="330">
        <v>0</v>
      </c>
      <c r="CX260" s="330">
        <v>0</v>
      </c>
      <c r="CY260" s="328">
        <v>0</v>
      </c>
      <c r="CZ260" s="322" t="s">
        <v>934</v>
      </c>
      <c r="DA260" s="323">
        <v>199</v>
      </c>
      <c r="DB260" s="323">
        <v>200</v>
      </c>
      <c r="DC260" s="323">
        <v>138</v>
      </c>
      <c r="DD260" s="323">
        <v>65</v>
      </c>
      <c r="DE260" s="323">
        <v>39</v>
      </c>
      <c r="DF260" s="323">
        <v>18</v>
      </c>
      <c r="DG260" s="323">
        <v>15</v>
      </c>
      <c r="DH260" s="323">
        <v>1</v>
      </c>
      <c r="DI260" s="323">
        <v>675</v>
      </c>
      <c r="DJ260" s="337">
        <v>266.7</v>
      </c>
      <c r="DK260" s="644">
        <v>38884.9</v>
      </c>
      <c r="DL260" s="614">
        <v>6294</v>
      </c>
      <c r="DM260" s="614">
        <v>11652</v>
      </c>
      <c r="DN260" s="614">
        <v>13387</v>
      </c>
      <c r="DO260" s="614">
        <v>7290</v>
      </c>
      <c r="DP260" s="614">
        <v>4508</v>
      </c>
      <c r="DQ260" s="614">
        <v>2381</v>
      </c>
      <c r="DR260" s="614">
        <v>1735</v>
      </c>
      <c r="DS260" s="615">
        <v>84</v>
      </c>
      <c r="DT260" s="607">
        <f t="shared" si="3"/>
        <v>47331</v>
      </c>
      <c r="DU260" s="342"/>
      <c r="EC260" s="646"/>
      <c r="EF260" s="123"/>
      <c r="EG260" s="124"/>
    </row>
    <row r="261" spans="1:137" ht="15">
      <c r="A261" s="22">
        <v>253</v>
      </c>
      <c r="B261" s="23" t="s">
        <v>649</v>
      </c>
      <c r="C261" s="24" t="s">
        <v>650</v>
      </c>
      <c r="D261" s="613"/>
      <c r="E261" s="628">
        <v>7348</v>
      </c>
      <c r="F261" s="628">
        <v>13416</v>
      </c>
      <c r="G261" s="628">
        <v>9915</v>
      </c>
      <c r="H261" s="628">
        <v>5718</v>
      </c>
      <c r="I261" s="628">
        <v>3610</v>
      </c>
      <c r="J261" s="628">
        <v>1695</v>
      </c>
      <c r="K261" s="628">
        <v>1233</v>
      </c>
      <c r="L261" s="628">
        <v>79</v>
      </c>
      <c r="M261" s="627">
        <v>43014</v>
      </c>
      <c r="N261" s="322"/>
      <c r="O261" s="323">
        <v>328</v>
      </c>
      <c r="P261" s="323">
        <v>333</v>
      </c>
      <c r="Q261" s="323">
        <v>207</v>
      </c>
      <c r="R261" s="323">
        <v>95</v>
      </c>
      <c r="S261" s="323">
        <v>55</v>
      </c>
      <c r="T261" s="323">
        <v>46</v>
      </c>
      <c r="U261" s="323">
        <v>18</v>
      </c>
      <c r="V261" s="323">
        <v>7</v>
      </c>
      <c r="W261" s="323">
        <v>1089</v>
      </c>
      <c r="X261" s="329" t="s">
        <v>934</v>
      </c>
      <c r="Y261" s="330">
        <v>0</v>
      </c>
      <c r="Z261" s="330">
        <v>0</v>
      </c>
      <c r="AA261" s="330">
        <v>0</v>
      </c>
      <c r="AB261" s="330">
        <v>0</v>
      </c>
      <c r="AC261" s="330">
        <v>0</v>
      </c>
      <c r="AD261" s="330">
        <v>0</v>
      </c>
      <c r="AE261" s="330">
        <v>0</v>
      </c>
      <c r="AF261" s="330">
        <v>0</v>
      </c>
      <c r="AG261" s="328">
        <v>0</v>
      </c>
      <c r="AH261" s="329" t="s">
        <v>934</v>
      </c>
      <c r="AI261" s="184">
        <v>27</v>
      </c>
      <c r="AJ261" s="184">
        <v>105</v>
      </c>
      <c r="AK261" s="184">
        <v>107</v>
      </c>
      <c r="AL261" s="184">
        <v>71</v>
      </c>
      <c r="AM261" s="184">
        <v>54</v>
      </c>
      <c r="AN261" s="184">
        <v>31</v>
      </c>
      <c r="AO261" s="184">
        <v>17</v>
      </c>
      <c r="AP261" s="184">
        <v>12</v>
      </c>
      <c r="AQ261" s="336">
        <v>424</v>
      </c>
      <c r="AR261" s="323">
        <v>7</v>
      </c>
      <c r="AS261" s="323">
        <v>4372</v>
      </c>
      <c r="AT261" s="323">
        <v>5020</v>
      </c>
      <c r="AU261" s="323">
        <v>2837</v>
      </c>
      <c r="AV261" s="323">
        <v>1296</v>
      </c>
      <c r="AW261" s="323">
        <v>625</v>
      </c>
      <c r="AX261" s="323">
        <v>252</v>
      </c>
      <c r="AY261" s="323">
        <v>162</v>
      </c>
      <c r="AZ261" s="323">
        <v>6</v>
      </c>
      <c r="BA261" s="323">
        <v>14577</v>
      </c>
      <c r="BB261" s="331">
        <v>3</v>
      </c>
      <c r="BC261" s="330">
        <v>41</v>
      </c>
      <c r="BD261" s="330">
        <v>132</v>
      </c>
      <c r="BE261" s="330">
        <v>104</v>
      </c>
      <c r="BF261" s="330">
        <v>61</v>
      </c>
      <c r="BG261" s="330">
        <v>36</v>
      </c>
      <c r="BH261" s="330">
        <v>9</v>
      </c>
      <c r="BI261" s="330">
        <v>4</v>
      </c>
      <c r="BJ261" s="330">
        <v>0</v>
      </c>
      <c r="BK261" s="328">
        <v>390</v>
      </c>
      <c r="BL261" s="323">
        <v>0</v>
      </c>
      <c r="BM261" s="323">
        <v>10</v>
      </c>
      <c r="BN261" s="323">
        <v>15</v>
      </c>
      <c r="BO261" s="323">
        <v>5</v>
      </c>
      <c r="BP261" s="323">
        <v>4</v>
      </c>
      <c r="BQ261" s="323">
        <v>6</v>
      </c>
      <c r="BR261" s="323">
        <v>17</v>
      </c>
      <c r="BS261" s="323">
        <v>13</v>
      </c>
      <c r="BT261" s="323">
        <v>2</v>
      </c>
      <c r="BU261" s="323">
        <v>72</v>
      </c>
      <c r="BV261" s="329" t="s">
        <v>934</v>
      </c>
      <c r="BW261" s="330">
        <v>49</v>
      </c>
      <c r="BX261" s="330">
        <v>57</v>
      </c>
      <c r="BY261" s="330">
        <v>56</v>
      </c>
      <c r="BZ261" s="330">
        <v>29</v>
      </c>
      <c r="CA261" s="330">
        <v>33</v>
      </c>
      <c r="CB261" s="330">
        <v>16</v>
      </c>
      <c r="CC261" s="330">
        <v>12</v>
      </c>
      <c r="CD261" s="330">
        <v>2</v>
      </c>
      <c r="CE261" s="328">
        <v>254</v>
      </c>
      <c r="CF261" s="322" t="s">
        <v>934</v>
      </c>
      <c r="CG261" s="323">
        <v>0</v>
      </c>
      <c r="CH261" s="323">
        <v>0</v>
      </c>
      <c r="CI261" s="323">
        <v>0</v>
      </c>
      <c r="CJ261" s="323">
        <v>0</v>
      </c>
      <c r="CK261" s="323">
        <v>0</v>
      </c>
      <c r="CL261" s="323">
        <v>0</v>
      </c>
      <c r="CM261" s="323">
        <v>0</v>
      </c>
      <c r="CN261" s="323">
        <v>0</v>
      </c>
      <c r="CO261" s="323">
        <v>0</v>
      </c>
      <c r="CP261" s="329" t="s">
        <v>934</v>
      </c>
      <c r="CQ261" s="330">
        <v>89</v>
      </c>
      <c r="CR261" s="330">
        <v>61</v>
      </c>
      <c r="CS261" s="330">
        <v>43</v>
      </c>
      <c r="CT261" s="330">
        <v>33</v>
      </c>
      <c r="CU261" s="330">
        <v>17</v>
      </c>
      <c r="CV261" s="330">
        <v>7</v>
      </c>
      <c r="CW261" s="330">
        <v>5</v>
      </c>
      <c r="CX261" s="330">
        <v>2</v>
      </c>
      <c r="CY261" s="328">
        <v>257</v>
      </c>
      <c r="CZ261" s="322" t="s">
        <v>934</v>
      </c>
      <c r="DA261" s="323">
        <v>0</v>
      </c>
      <c r="DB261" s="323">
        <v>0</v>
      </c>
      <c r="DC261" s="323">
        <v>0</v>
      </c>
      <c r="DD261" s="323">
        <v>0</v>
      </c>
      <c r="DE261" s="323">
        <v>0</v>
      </c>
      <c r="DF261" s="323">
        <v>0</v>
      </c>
      <c r="DG261" s="323">
        <v>0</v>
      </c>
      <c r="DH261" s="323">
        <v>0</v>
      </c>
      <c r="DI261" s="323">
        <v>0</v>
      </c>
      <c r="DJ261" s="337">
        <v>53.7</v>
      </c>
      <c r="DK261" s="644">
        <v>34732.9</v>
      </c>
      <c r="DL261" s="614">
        <v>7459</v>
      </c>
      <c r="DM261" s="614">
        <v>13419</v>
      </c>
      <c r="DN261" s="614">
        <v>9956</v>
      </c>
      <c r="DO261" s="614">
        <v>5758</v>
      </c>
      <c r="DP261" s="614">
        <v>3630</v>
      </c>
      <c r="DQ261" s="614">
        <v>1705</v>
      </c>
      <c r="DR261" s="614">
        <v>1244</v>
      </c>
      <c r="DS261" s="615">
        <v>81</v>
      </c>
      <c r="DT261" s="607">
        <f t="shared" si="3"/>
        <v>43252</v>
      </c>
      <c r="DU261" s="342"/>
      <c r="EC261" s="646"/>
      <c r="EF261" s="123"/>
      <c r="EG261" s="124"/>
    </row>
    <row r="262" spans="1:137" ht="15">
      <c r="A262" s="22">
        <v>254</v>
      </c>
      <c r="B262" s="23" t="s">
        <v>651</v>
      </c>
      <c r="C262" s="24" t="s">
        <v>652</v>
      </c>
      <c r="D262" s="613"/>
      <c r="E262" s="629">
        <v>1106</v>
      </c>
      <c r="F262" s="629">
        <v>9052</v>
      </c>
      <c r="G262" s="629">
        <v>20288</v>
      </c>
      <c r="H262" s="629">
        <v>11635</v>
      </c>
      <c r="I262" s="629">
        <v>3888</v>
      </c>
      <c r="J262" s="629">
        <v>1546</v>
      </c>
      <c r="K262" s="629">
        <v>305</v>
      </c>
      <c r="L262" s="629">
        <v>6</v>
      </c>
      <c r="M262" s="627">
        <v>47826</v>
      </c>
      <c r="N262" s="322"/>
      <c r="O262" s="323">
        <v>63</v>
      </c>
      <c r="P262" s="323">
        <v>313</v>
      </c>
      <c r="Q262" s="323">
        <v>399</v>
      </c>
      <c r="R262" s="323">
        <v>162</v>
      </c>
      <c r="S262" s="323">
        <v>67</v>
      </c>
      <c r="T262" s="323">
        <v>22</v>
      </c>
      <c r="U262" s="323">
        <v>9</v>
      </c>
      <c r="V262" s="323">
        <v>0</v>
      </c>
      <c r="W262" s="323">
        <v>1035</v>
      </c>
      <c r="X262" s="329" t="s">
        <v>934</v>
      </c>
      <c r="Y262" s="330">
        <v>0</v>
      </c>
      <c r="Z262" s="330">
        <v>0</v>
      </c>
      <c r="AA262" s="330">
        <v>0</v>
      </c>
      <c r="AB262" s="330">
        <v>0</v>
      </c>
      <c r="AC262" s="330">
        <v>0</v>
      </c>
      <c r="AD262" s="330">
        <v>4</v>
      </c>
      <c r="AE262" s="330">
        <v>0</v>
      </c>
      <c r="AF262" s="330">
        <v>0</v>
      </c>
      <c r="AG262" s="328">
        <v>4</v>
      </c>
      <c r="AH262" s="329" t="s">
        <v>934</v>
      </c>
      <c r="AI262" s="184">
        <v>0</v>
      </c>
      <c r="AJ262" s="184">
        <v>10</v>
      </c>
      <c r="AK262" s="184">
        <v>68</v>
      </c>
      <c r="AL262" s="184">
        <v>57</v>
      </c>
      <c r="AM262" s="184">
        <v>25</v>
      </c>
      <c r="AN262" s="184">
        <v>11</v>
      </c>
      <c r="AO262" s="184">
        <v>1</v>
      </c>
      <c r="AP262" s="184">
        <v>1</v>
      </c>
      <c r="AQ262" s="336">
        <v>173</v>
      </c>
      <c r="AR262" s="323">
        <v>0</v>
      </c>
      <c r="AS262" s="323">
        <v>539</v>
      </c>
      <c r="AT262" s="323">
        <v>5177</v>
      </c>
      <c r="AU262" s="323">
        <v>6621</v>
      </c>
      <c r="AV262" s="323">
        <v>2731</v>
      </c>
      <c r="AW262" s="323">
        <v>653</v>
      </c>
      <c r="AX262" s="323">
        <v>172</v>
      </c>
      <c r="AY262" s="323">
        <v>27</v>
      </c>
      <c r="AZ262" s="323">
        <v>1</v>
      </c>
      <c r="BA262" s="323">
        <v>15921</v>
      </c>
      <c r="BB262" s="331">
        <v>0</v>
      </c>
      <c r="BC262" s="330">
        <v>7</v>
      </c>
      <c r="BD262" s="330">
        <v>54</v>
      </c>
      <c r="BE262" s="330">
        <v>150</v>
      </c>
      <c r="BF262" s="330">
        <v>82</v>
      </c>
      <c r="BG262" s="330">
        <v>22</v>
      </c>
      <c r="BH262" s="330">
        <v>9</v>
      </c>
      <c r="BI262" s="330">
        <v>4</v>
      </c>
      <c r="BJ262" s="330">
        <v>0</v>
      </c>
      <c r="BK262" s="328">
        <v>328</v>
      </c>
      <c r="BL262" s="323">
        <v>0</v>
      </c>
      <c r="BM262" s="323">
        <v>1</v>
      </c>
      <c r="BN262" s="323">
        <v>0</v>
      </c>
      <c r="BO262" s="323">
        <v>1</v>
      </c>
      <c r="BP262" s="323">
        <v>3</v>
      </c>
      <c r="BQ262" s="323">
        <v>7</v>
      </c>
      <c r="BR262" s="323">
        <v>2</v>
      </c>
      <c r="BS262" s="323">
        <v>3</v>
      </c>
      <c r="BT262" s="323">
        <v>1</v>
      </c>
      <c r="BU262" s="323">
        <v>18</v>
      </c>
      <c r="BV262" s="329" t="s">
        <v>934</v>
      </c>
      <c r="BW262" s="330">
        <v>34</v>
      </c>
      <c r="BX262" s="330">
        <v>120</v>
      </c>
      <c r="BY262" s="330">
        <v>158</v>
      </c>
      <c r="BZ262" s="330">
        <v>63</v>
      </c>
      <c r="CA262" s="330">
        <v>13</v>
      </c>
      <c r="CB262" s="330">
        <v>7</v>
      </c>
      <c r="CC262" s="330">
        <v>0</v>
      </c>
      <c r="CD262" s="330">
        <v>0</v>
      </c>
      <c r="CE262" s="328">
        <v>395</v>
      </c>
      <c r="CF262" s="322" t="s">
        <v>934</v>
      </c>
      <c r="CG262" s="323">
        <v>0</v>
      </c>
      <c r="CH262" s="323">
        <v>0</v>
      </c>
      <c r="CI262" s="323">
        <v>0</v>
      </c>
      <c r="CJ262" s="323">
        <v>0</v>
      </c>
      <c r="CK262" s="323">
        <v>0</v>
      </c>
      <c r="CL262" s="323">
        <v>0</v>
      </c>
      <c r="CM262" s="323">
        <v>0</v>
      </c>
      <c r="CN262" s="323">
        <v>0</v>
      </c>
      <c r="CO262" s="323">
        <v>0</v>
      </c>
      <c r="CP262" s="329" t="s">
        <v>934</v>
      </c>
      <c r="CQ262" s="330">
        <v>9</v>
      </c>
      <c r="CR262" s="330">
        <v>89</v>
      </c>
      <c r="CS262" s="330">
        <v>124</v>
      </c>
      <c r="CT262" s="330">
        <v>52</v>
      </c>
      <c r="CU262" s="330">
        <v>28</v>
      </c>
      <c r="CV262" s="330">
        <v>8</v>
      </c>
      <c r="CW262" s="330">
        <v>1</v>
      </c>
      <c r="CX262" s="330">
        <v>0</v>
      </c>
      <c r="CY262" s="328">
        <v>311</v>
      </c>
      <c r="CZ262" s="322" t="s">
        <v>934</v>
      </c>
      <c r="DA262" s="323">
        <v>0</v>
      </c>
      <c r="DB262" s="323">
        <v>0</v>
      </c>
      <c r="DC262" s="323">
        <v>0</v>
      </c>
      <c r="DD262" s="323">
        <v>0</v>
      </c>
      <c r="DE262" s="323">
        <v>0</v>
      </c>
      <c r="DF262" s="323">
        <v>0</v>
      </c>
      <c r="DG262" s="323">
        <v>0</v>
      </c>
      <c r="DH262" s="323">
        <v>0</v>
      </c>
      <c r="DI262" s="323">
        <v>0</v>
      </c>
      <c r="DJ262" s="337">
        <v>0</v>
      </c>
      <c r="DK262" s="644">
        <v>40206.6</v>
      </c>
      <c r="DL262" s="616">
        <v>1110</v>
      </c>
      <c r="DM262" s="616">
        <v>9162</v>
      </c>
      <c r="DN262" s="616">
        <v>20506</v>
      </c>
      <c r="DO262" s="616">
        <v>11827</v>
      </c>
      <c r="DP262" s="616">
        <v>3918</v>
      </c>
      <c r="DQ262" s="616">
        <v>1548</v>
      </c>
      <c r="DR262" s="616">
        <v>306</v>
      </c>
      <c r="DS262" s="617">
        <v>6</v>
      </c>
      <c r="DT262" s="607">
        <f t="shared" si="3"/>
        <v>48383</v>
      </c>
      <c r="DU262" s="342"/>
      <c r="EC262" s="646"/>
      <c r="EF262" s="125"/>
      <c r="EG262" s="124"/>
    </row>
    <row r="263" spans="1:137" ht="15">
      <c r="A263" s="22">
        <v>255</v>
      </c>
      <c r="B263" s="23" t="s">
        <v>653</v>
      </c>
      <c r="C263" s="24" t="s">
        <v>654</v>
      </c>
      <c r="D263" s="613"/>
      <c r="E263" s="634">
        <v>14098</v>
      </c>
      <c r="F263" s="634">
        <v>10908</v>
      </c>
      <c r="G263" s="634">
        <v>20899</v>
      </c>
      <c r="H263" s="634">
        <v>15706</v>
      </c>
      <c r="I263" s="634">
        <v>11219</v>
      </c>
      <c r="J263" s="634">
        <v>8536</v>
      </c>
      <c r="K263" s="634">
        <v>5065</v>
      </c>
      <c r="L263" s="634">
        <v>284</v>
      </c>
      <c r="M263" s="635">
        <v>86715</v>
      </c>
      <c r="N263" s="322"/>
      <c r="O263" s="323">
        <v>472</v>
      </c>
      <c r="P263" s="323">
        <v>262</v>
      </c>
      <c r="Q263" s="323">
        <v>455</v>
      </c>
      <c r="R263" s="323">
        <v>247</v>
      </c>
      <c r="S263" s="323">
        <v>172</v>
      </c>
      <c r="T263" s="323">
        <v>61</v>
      </c>
      <c r="U263" s="323">
        <v>61</v>
      </c>
      <c r="V263" s="323">
        <v>3</v>
      </c>
      <c r="W263" s="323">
        <v>1733</v>
      </c>
      <c r="X263" s="329" t="s">
        <v>934</v>
      </c>
      <c r="Y263" s="330">
        <v>1</v>
      </c>
      <c r="Z263" s="330">
        <v>0</v>
      </c>
      <c r="AA263" s="330">
        <v>0</v>
      </c>
      <c r="AB263" s="330">
        <v>2</v>
      </c>
      <c r="AC263" s="330">
        <v>1</v>
      </c>
      <c r="AD263" s="330">
        <v>1</v>
      </c>
      <c r="AE263" s="330">
        <v>0</v>
      </c>
      <c r="AF263" s="330">
        <v>0</v>
      </c>
      <c r="AG263" s="328">
        <v>5</v>
      </c>
      <c r="AH263" s="329" t="s">
        <v>934</v>
      </c>
      <c r="AI263" s="184">
        <v>36</v>
      </c>
      <c r="AJ263" s="184">
        <v>72</v>
      </c>
      <c r="AK263" s="184">
        <v>126</v>
      </c>
      <c r="AL263" s="184">
        <v>133</v>
      </c>
      <c r="AM263" s="184">
        <v>103</v>
      </c>
      <c r="AN263" s="184">
        <v>81</v>
      </c>
      <c r="AO263" s="184">
        <v>52</v>
      </c>
      <c r="AP263" s="184">
        <v>16</v>
      </c>
      <c r="AQ263" s="336">
        <v>619</v>
      </c>
      <c r="AR263" s="323">
        <v>12</v>
      </c>
      <c r="AS263" s="323">
        <v>7770</v>
      </c>
      <c r="AT263" s="323">
        <v>4902</v>
      </c>
      <c r="AU263" s="323">
        <v>6952</v>
      </c>
      <c r="AV263" s="323">
        <v>4221</v>
      </c>
      <c r="AW263" s="323">
        <v>2315</v>
      </c>
      <c r="AX263" s="323">
        <v>1157</v>
      </c>
      <c r="AY263" s="323">
        <v>588</v>
      </c>
      <c r="AZ263" s="323">
        <v>15</v>
      </c>
      <c r="BA263" s="323">
        <v>27932</v>
      </c>
      <c r="BB263" s="331">
        <v>1</v>
      </c>
      <c r="BC263" s="330">
        <v>79</v>
      </c>
      <c r="BD263" s="330">
        <v>77</v>
      </c>
      <c r="BE263" s="330">
        <v>168</v>
      </c>
      <c r="BF263" s="330">
        <v>109</v>
      </c>
      <c r="BG263" s="330">
        <v>72</v>
      </c>
      <c r="BH263" s="330">
        <v>44</v>
      </c>
      <c r="BI263" s="330">
        <v>18</v>
      </c>
      <c r="BJ263" s="330">
        <v>2</v>
      </c>
      <c r="BK263" s="328">
        <v>570</v>
      </c>
      <c r="BL263" s="323">
        <v>0</v>
      </c>
      <c r="BM263" s="323">
        <v>6</v>
      </c>
      <c r="BN263" s="323">
        <v>14</v>
      </c>
      <c r="BO263" s="323">
        <v>18</v>
      </c>
      <c r="BP263" s="323">
        <v>15</v>
      </c>
      <c r="BQ263" s="323">
        <v>14</v>
      </c>
      <c r="BR263" s="323">
        <v>20</v>
      </c>
      <c r="BS263" s="323">
        <v>21</v>
      </c>
      <c r="BT263" s="323">
        <v>7</v>
      </c>
      <c r="BU263" s="323">
        <v>115</v>
      </c>
      <c r="BV263" s="329" t="s">
        <v>934</v>
      </c>
      <c r="BW263" s="330">
        <v>5</v>
      </c>
      <c r="BX263" s="330">
        <v>5</v>
      </c>
      <c r="BY263" s="330">
        <v>19</v>
      </c>
      <c r="BZ263" s="330">
        <v>6</v>
      </c>
      <c r="CA263" s="330">
        <v>4</v>
      </c>
      <c r="CB263" s="330">
        <v>7</v>
      </c>
      <c r="CC263" s="330">
        <v>5</v>
      </c>
      <c r="CD263" s="330">
        <v>0</v>
      </c>
      <c r="CE263" s="328">
        <v>51</v>
      </c>
      <c r="CF263" s="322" t="s">
        <v>934</v>
      </c>
      <c r="CG263" s="323">
        <v>172</v>
      </c>
      <c r="CH263" s="323">
        <v>197</v>
      </c>
      <c r="CI263" s="323">
        <v>325</v>
      </c>
      <c r="CJ263" s="323">
        <v>219</v>
      </c>
      <c r="CK263" s="323">
        <v>124</v>
      </c>
      <c r="CL263" s="323">
        <v>67</v>
      </c>
      <c r="CM263" s="323">
        <v>49</v>
      </c>
      <c r="CN263" s="323">
        <v>9</v>
      </c>
      <c r="CO263" s="323">
        <v>1162</v>
      </c>
      <c r="CP263" s="329" t="s">
        <v>934</v>
      </c>
      <c r="CQ263" s="330">
        <v>0</v>
      </c>
      <c r="CR263" s="330">
        <v>0</v>
      </c>
      <c r="CS263" s="330">
        <v>0</v>
      </c>
      <c r="CT263" s="330">
        <v>0</v>
      </c>
      <c r="CU263" s="330">
        <v>0</v>
      </c>
      <c r="CV263" s="330">
        <v>0</v>
      </c>
      <c r="CW263" s="330">
        <v>0</v>
      </c>
      <c r="CX263" s="330">
        <v>0</v>
      </c>
      <c r="CY263" s="328">
        <v>0</v>
      </c>
      <c r="CZ263" s="322" t="s">
        <v>934</v>
      </c>
      <c r="DA263" s="323">
        <v>0</v>
      </c>
      <c r="DB263" s="323">
        <v>0</v>
      </c>
      <c r="DC263" s="323">
        <v>0</v>
      </c>
      <c r="DD263" s="323">
        <v>0</v>
      </c>
      <c r="DE263" s="323">
        <v>0</v>
      </c>
      <c r="DF263" s="323">
        <v>0</v>
      </c>
      <c r="DG263" s="323">
        <v>0</v>
      </c>
      <c r="DH263" s="323">
        <v>0</v>
      </c>
      <c r="DI263" s="323">
        <v>0</v>
      </c>
      <c r="DJ263" s="337">
        <v>0</v>
      </c>
      <c r="DK263" s="644">
        <v>78512.3</v>
      </c>
      <c r="DL263" s="618">
        <v>14160</v>
      </c>
      <c r="DM263" s="618">
        <v>11007</v>
      </c>
      <c r="DN263" s="618">
        <v>21097</v>
      </c>
      <c r="DO263" s="618">
        <v>15846</v>
      </c>
      <c r="DP263" s="618">
        <v>11314</v>
      </c>
      <c r="DQ263" s="618">
        <v>8580</v>
      </c>
      <c r="DR263" s="618">
        <v>5095</v>
      </c>
      <c r="DS263" s="619">
        <v>289</v>
      </c>
      <c r="DT263" s="609">
        <f t="shared" si="3"/>
        <v>87388</v>
      </c>
      <c r="DU263" s="342"/>
      <c r="EC263" s="646"/>
      <c r="EF263" s="129"/>
      <c r="EG263" s="124"/>
    </row>
    <row r="264" spans="1:137" ht="15">
      <c r="A264" s="22">
        <v>256</v>
      </c>
      <c r="B264" s="23" t="s">
        <v>655</v>
      </c>
      <c r="C264" s="24" t="s">
        <v>656</v>
      </c>
      <c r="D264" s="613"/>
      <c r="E264" s="632">
        <v>5177</v>
      </c>
      <c r="F264" s="632">
        <v>10326</v>
      </c>
      <c r="G264" s="632">
        <v>14486</v>
      </c>
      <c r="H264" s="632">
        <v>9757</v>
      </c>
      <c r="I264" s="632">
        <v>5303</v>
      </c>
      <c r="J264" s="632">
        <v>2742</v>
      </c>
      <c r="K264" s="632">
        <v>1598</v>
      </c>
      <c r="L264" s="632">
        <v>110</v>
      </c>
      <c r="M264" s="627">
        <v>49499</v>
      </c>
      <c r="N264" s="322"/>
      <c r="O264" s="323">
        <v>331</v>
      </c>
      <c r="P264" s="323">
        <v>341</v>
      </c>
      <c r="Q264" s="323">
        <v>286</v>
      </c>
      <c r="R264" s="323">
        <v>152</v>
      </c>
      <c r="S264" s="323">
        <v>83</v>
      </c>
      <c r="T264" s="323">
        <v>65</v>
      </c>
      <c r="U264" s="323">
        <v>24</v>
      </c>
      <c r="V264" s="323">
        <v>0</v>
      </c>
      <c r="W264" s="323">
        <v>1282</v>
      </c>
      <c r="X264" s="329" t="s">
        <v>934</v>
      </c>
      <c r="Y264" s="330">
        <v>0</v>
      </c>
      <c r="Z264" s="330">
        <v>0</v>
      </c>
      <c r="AA264" s="330">
        <v>0</v>
      </c>
      <c r="AB264" s="330">
        <v>0</v>
      </c>
      <c r="AC264" s="330">
        <v>0</v>
      </c>
      <c r="AD264" s="330">
        <v>0</v>
      </c>
      <c r="AE264" s="330">
        <v>0</v>
      </c>
      <c r="AF264" s="330">
        <v>0</v>
      </c>
      <c r="AG264" s="328">
        <v>0</v>
      </c>
      <c r="AH264" s="329" t="s">
        <v>934</v>
      </c>
      <c r="AI264" s="184">
        <v>6</v>
      </c>
      <c r="AJ264" s="184">
        <v>28</v>
      </c>
      <c r="AK264" s="184">
        <v>54</v>
      </c>
      <c r="AL264" s="184">
        <v>64</v>
      </c>
      <c r="AM264" s="184">
        <v>31</v>
      </c>
      <c r="AN264" s="184">
        <v>22</v>
      </c>
      <c r="AO264" s="184">
        <v>24</v>
      </c>
      <c r="AP264" s="184">
        <v>11</v>
      </c>
      <c r="AQ264" s="336">
        <v>240</v>
      </c>
      <c r="AR264" s="323">
        <v>4</v>
      </c>
      <c r="AS264" s="323">
        <v>3279</v>
      </c>
      <c r="AT264" s="323">
        <v>4594</v>
      </c>
      <c r="AU264" s="323">
        <v>4709</v>
      </c>
      <c r="AV264" s="323">
        <v>2203</v>
      </c>
      <c r="AW264" s="323">
        <v>822</v>
      </c>
      <c r="AX264" s="323">
        <v>323</v>
      </c>
      <c r="AY264" s="323">
        <v>169</v>
      </c>
      <c r="AZ264" s="323">
        <v>7</v>
      </c>
      <c r="BA264" s="323">
        <v>16110</v>
      </c>
      <c r="BB264" s="331">
        <v>0</v>
      </c>
      <c r="BC264" s="330">
        <v>15</v>
      </c>
      <c r="BD264" s="330">
        <v>56</v>
      </c>
      <c r="BE264" s="330">
        <v>73</v>
      </c>
      <c r="BF264" s="330">
        <v>51</v>
      </c>
      <c r="BG264" s="330">
        <v>18</v>
      </c>
      <c r="BH264" s="330">
        <v>17</v>
      </c>
      <c r="BI264" s="330">
        <v>6</v>
      </c>
      <c r="BJ264" s="330">
        <v>0</v>
      </c>
      <c r="BK264" s="328">
        <v>236</v>
      </c>
      <c r="BL264" s="323">
        <v>0</v>
      </c>
      <c r="BM264" s="323">
        <v>5</v>
      </c>
      <c r="BN264" s="323">
        <v>13</v>
      </c>
      <c r="BO264" s="323">
        <v>4</v>
      </c>
      <c r="BP264" s="323">
        <v>1</v>
      </c>
      <c r="BQ264" s="323">
        <v>5</v>
      </c>
      <c r="BR264" s="323">
        <v>10</v>
      </c>
      <c r="BS264" s="323">
        <v>15</v>
      </c>
      <c r="BT264" s="323">
        <v>2</v>
      </c>
      <c r="BU264" s="323">
        <v>55</v>
      </c>
      <c r="BV264" s="329" t="s">
        <v>934</v>
      </c>
      <c r="BW264" s="330">
        <v>32</v>
      </c>
      <c r="BX264" s="330">
        <v>41</v>
      </c>
      <c r="BY264" s="330">
        <v>47</v>
      </c>
      <c r="BZ264" s="330">
        <v>26</v>
      </c>
      <c r="CA264" s="330">
        <v>6</v>
      </c>
      <c r="CB264" s="330">
        <v>8</v>
      </c>
      <c r="CC264" s="330">
        <v>6</v>
      </c>
      <c r="CD264" s="330">
        <v>1</v>
      </c>
      <c r="CE264" s="328">
        <v>167</v>
      </c>
      <c r="CF264" s="322" t="s">
        <v>934</v>
      </c>
      <c r="CG264" s="323">
        <v>112</v>
      </c>
      <c r="CH264" s="323">
        <v>93</v>
      </c>
      <c r="CI264" s="323">
        <v>99</v>
      </c>
      <c r="CJ264" s="323">
        <v>58</v>
      </c>
      <c r="CK264" s="323">
        <v>21</v>
      </c>
      <c r="CL264" s="323">
        <v>16</v>
      </c>
      <c r="CM264" s="323">
        <v>15</v>
      </c>
      <c r="CN264" s="323">
        <v>3</v>
      </c>
      <c r="CO264" s="323">
        <v>417</v>
      </c>
      <c r="CP264" s="329" t="s">
        <v>934</v>
      </c>
      <c r="CQ264" s="330">
        <v>0</v>
      </c>
      <c r="CR264" s="330">
        <v>0</v>
      </c>
      <c r="CS264" s="330">
        <v>0</v>
      </c>
      <c r="CT264" s="330">
        <v>0</v>
      </c>
      <c r="CU264" s="330">
        <v>0</v>
      </c>
      <c r="CV264" s="330">
        <v>0</v>
      </c>
      <c r="CW264" s="330">
        <v>0</v>
      </c>
      <c r="CX264" s="330">
        <v>0</v>
      </c>
      <c r="CY264" s="328">
        <v>0</v>
      </c>
      <c r="CZ264" s="322" t="s">
        <v>934</v>
      </c>
      <c r="DA264" s="323">
        <v>0</v>
      </c>
      <c r="DB264" s="323">
        <v>0</v>
      </c>
      <c r="DC264" s="323">
        <v>0</v>
      </c>
      <c r="DD264" s="323">
        <v>0</v>
      </c>
      <c r="DE264" s="323">
        <v>0</v>
      </c>
      <c r="DF264" s="323">
        <v>0</v>
      </c>
      <c r="DG264" s="323">
        <v>0</v>
      </c>
      <c r="DH264" s="323">
        <v>0</v>
      </c>
      <c r="DI264" s="323">
        <v>0</v>
      </c>
      <c r="DJ264" s="337">
        <v>30.3</v>
      </c>
      <c r="DK264" s="644">
        <v>42475</v>
      </c>
      <c r="DL264" s="616">
        <v>5228</v>
      </c>
      <c r="DM264" s="616">
        <v>10681</v>
      </c>
      <c r="DN264" s="616">
        <v>14778</v>
      </c>
      <c r="DO264" s="616">
        <v>9909</v>
      </c>
      <c r="DP264" s="616">
        <v>5309</v>
      </c>
      <c r="DQ264" s="616">
        <v>2744</v>
      </c>
      <c r="DR264" s="616">
        <v>1614</v>
      </c>
      <c r="DS264" s="617">
        <v>111</v>
      </c>
      <c r="DT264" s="607">
        <f t="shared" si="3"/>
        <v>50374</v>
      </c>
      <c r="DU264" s="342"/>
      <c r="EC264" s="646"/>
      <c r="EF264" s="125"/>
      <c r="EG264" s="124"/>
    </row>
    <row r="265" spans="1:137" ht="15">
      <c r="A265" s="22">
        <v>257</v>
      </c>
      <c r="B265" s="23" t="s">
        <v>657</v>
      </c>
      <c r="C265" s="24" t="s">
        <v>658</v>
      </c>
      <c r="D265" s="613"/>
      <c r="E265" s="629">
        <v>561</v>
      </c>
      <c r="F265" s="629">
        <v>857</v>
      </c>
      <c r="G265" s="629">
        <v>3418</v>
      </c>
      <c r="H265" s="629">
        <v>5346</v>
      </c>
      <c r="I265" s="629">
        <v>4898</v>
      </c>
      <c r="J265" s="629">
        <v>3199</v>
      </c>
      <c r="K265" s="629">
        <v>6750</v>
      </c>
      <c r="L265" s="629">
        <v>1825</v>
      </c>
      <c r="M265" s="627">
        <v>26854</v>
      </c>
      <c r="N265" s="322"/>
      <c r="O265" s="323">
        <v>63</v>
      </c>
      <c r="P265" s="323">
        <v>73</v>
      </c>
      <c r="Q265" s="323">
        <v>237</v>
      </c>
      <c r="R265" s="323">
        <v>240</v>
      </c>
      <c r="S265" s="323">
        <v>195</v>
      </c>
      <c r="T265" s="323">
        <v>147</v>
      </c>
      <c r="U265" s="323">
        <v>238</v>
      </c>
      <c r="V265" s="323">
        <v>90</v>
      </c>
      <c r="W265" s="323">
        <v>1283</v>
      </c>
      <c r="X265" s="329" t="s">
        <v>934</v>
      </c>
      <c r="Y265" s="330">
        <v>0</v>
      </c>
      <c r="Z265" s="330">
        <v>0</v>
      </c>
      <c r="AA265" s="330">
        <v>0</v>
      </c>
      <c r="AB265" s="330">
        <v>0</v>
      </c>
      <c r="AC265" s="330">
        <v>0</v>
      </c>
      <c r="AD265" s="330">
        <v>0</v>
      </c>
      <c r="AE265" s="330">
        <v>0</v>
      </c>
      <c r="AF265" s="330">
        <v>0</v>
      </c>
      <c r="AG265" s="328">
        <v>0</v>
      </c>
      <c r="AH265" s="329" t="s">
        <v>934</v>
      </c>
      <c r="AI265" s="184">
        <v>1</v>
      </c>
      <c r="AJ265" s="184">
        <v>4</v>
      </c>
      <c r="AK265" s="184">
        <v>7</v>
      </c>
      <c r="AL265" s="184">
        <v>27</v>
      </c>
      <c r="AM265" s="184">
        <v>29</v>
      </c>
      <c r="AN265" s="184">
        <v>24</v>
      </c>
      <c r="AO265" s="184">
        <v>58</v>
      </c>
      <c r="AP265" s="184">
        <v>14</v>
      </c>
      <c r="AQ265" s="336">
        <v>164</v>
      </c>
      <c r="AR265" s="323">
        <v>1</v>
      </c>
      <c r="AS265" s="323">
        <v>231</v>
      </c>
      <c r="AT265" s="323">
        <v>575</v>
      </c>
      <c r="AU265" s="323">
        <v>1838</v>
      </c>
      <c r="AV265" s="323">
        <v>1956</v>
      </c>
      <c r="AW265" s="323">
        <v>1380</v>
      </c>
      <c r="AX265" s="323">
        <v>789</v>
      </c>
      <c r="AY265" s="323">
        <v>1087</v>
      </c>
      <c r="AZ265" s="323">
        <v>164</v>
      </c>
      <c r="BA265" s="323">
        <v>8021</v>
      </c>
      <c r="BB265" s="331">
        <v>0</v>
      </c>
      <c r="BC265" s="330">
        <v>1</v>
      </c>
      <c r="BD265" s="330">
        <v>1</v>
      </c>
      <c r="BE265" s="330">
        <v>24</v>
      </c>
      <c r="BF265" s="330">
        <v>33</v>
      </c>
      <c r="BG265" s="330">
        <v>42</v>
      </c>
      <c r="BH265" s="330">
        <v>29</v>
      </c>
      <c r="BI265" s="330">
        <v>50</v>
      </c>
      <c r="BJ265" s="330">
        <v>8</v>
      </c>
      <c r="BK265" s="328">
        <v>188</v>
      </c>
      <c r="BL265" s="323">
        <v>0</v>
      </c>
      <c r="BM265" s="323">
        <v>4</v>
      </c>
      <c r="BN265" s="323">
        <v>0</v>
      </c>
      <c r="BO265" s="323">
        <v>1</v>
      </c>
      <c r="BP265" s="323">
        <v>5</v>
      </c>
      <c r="BQ265" s="323">
        <v>0</v>
      </c>
      <c r="BR265" s="323">
        <v>2</v>
      </c>
      <c r="BS265" s="323">
        <v>11</v>
      </c>
      <c r="BT265" s="323">
        <v>5</v>
      </c>
      <c r="BU265" s="323">
        <v>28</v>
      </c>
      <c r="BV265" s="329" t="s">
        <v>934</v>
      </c>
      <c r="BW265" s="330">
        <v>9</v>
      </c>
      <c r="BX265" s="330">
        <v>9</v>
      </c>
      <c r="BY265" s="330">
        <v>27</v>
      </c>
      <c r="BZ265" s="330">
        <v>21</v>
      </c>
      <c r="CA265" s="330">
        <v>17</v>
      </c>
      <c r="CB265" s="330">
        <v>23</v>
      </c>
      <c r="CC265" s="330">
        <v>28</v>
      </c>
      <c r="CD265" s="330">
        <v>13</v>
      </c>
      <c r="CE265" s="328">
        <v>147</v>
      </c>
      <c r="CF265" s="322" t="s">
        <v>934</v>
      </c>
      <c r="CG265" s="323">
        <v>0</v>
      </c>
      <c r="CH265" s="323">
        <v>0</v>
      </c>
      <c r="CI265" s="323">
        <v>0</v>
      </c>
      <c r="CJ265" s="323">
        <v>0</v>
      </c>
      <c r="CK265" s="323">
        <v>0</v>
      </c>
      <c r="CL265" s="323">
        <v>0</v>
      </c>
      <c r="CM265" s="323">
        <v>0</v>
      </c>
      <c r="CN265" s="323">
        <v>0</v>
      </c>
      <c r="CO265" s="323">
        <v>0</v>
      </c>
      <c r="CP265" s="329" t="s">
        <v>934</v>
      </c>
      <c r="CQ265" s="330">
        <v>13</v>
      </c>
      <c r="CR265" s="330">
        <v>21</v>
      </c>
      <c r="CS265" s="330">
        <v>49</v>
      </c>
      <c r="CT265" s="330">
        <v>30</v>
      </c>
      <c r="CU265" s="330">
        <v>37</v>
      </c>
      <c r="CV265" s="330">
        <v>37</v>
      </c>
      <c r="CW265" s="330">
        <v>37</v>
      </c>
      <c r="CX265" s="330">
        <v>23</v>
      </c>
      <c r="CY265" s="328">
        <v>247</v>
      </c>
      <c r="CZ265" s="322" t="s">
        <v>934</v>
      </c>
      <c r="DA265" s="323">
        <v>0</v>
      </c>
      <c r="DB265" s="323">
        <v>0</v>
      </c>
      <c r="DC265" s="323">
        <v>0</v>
      </c>
      <c r="DD265" s="323">
        <v>0</v>
      </c>
      <c r="DE265" s="323">
        <v>0</v>
      </c>
      <c r="DF265" s="323">
        <v>0</v>
      </c>
      <c r="DG265" s="323">
        <v>0</v>
      </c>
      <c r="DH265" s="323">
        <v>0</v>
      </c>
      <c r="DI265" s="323">
        <v>0</v>
      </c>
      <c r="DJ265" s="337">
        <v>118</v>
      </c>
      <c r="DK265" s="644">
        <v>30975.5</v>
      </c>
      <c r="DL265" s="616">
        <v>578</v>
      </c>
      <c r="DM265" s="616">
        <v>874</v>
      </c>
      <c r="DN265" s="616">
        <v>3390</v>
      </c>
      <c r="DO265" s="616">
        <v>5343</v>
      </c>
      <c r="DP265" s="616">
        <v>4921</v>
      </c>
      <c r="DQ265" s="616">
        <v>3231</v>
      </c>
      <c r="DR265" s="616">
        <v>6744</v>
      </c>
      <c r="DS265" s="617">
        <v>1840</v>
      </c>
      <c r="DT265" s="607">
        <f aca="true" t="shared" si="4" ref="DT265:DT328">SUM(DL265:DS265)</f>
        <v>26921</v>
      </c>
      <c r="DU265" s="342"/>
      <c r="EC265" s="646"/>
      <c r="EF265" s="125"/>
      <c r="EG265" s="124"/>
    </row>
    <row r="266" spans="1:137" ht="15">
      <c r="A266" s="22">
        <v>258</v>
      </c>
      <c r="B266" s="23" t="s">
        <v>659</v>
      </c>
      <c r="C266" s="24" t="s">
        <v>660</v>
      </c>
      <c r="D266" s="613"/>
      <c r="E266" s="629">
        <v>2339</v>
      </c>
      <c r="F266" s="629">
        <v>6098</v>
      </c>
      <c r="G266" s="629">
        <v>17823</v>
      </c>
      <c r="H266" s="629">
        <v>10894</v>
      </c>
      <c r="I266" s="629">
        <v>10049</v>
      </c>
      <c r="J266" s="629">
        <v>6627</v>
      </c>
      <c r="K266" s="629">
        <v>3738</v>
      </c>
      <c r="L266" s="629">
        <v>331</v>
      </c>
      <c r="M266" s="627">
        <v>57899</v>
      </c>
      <c r="N266" s="322"/>
      <c r="O266" s="323">
        <v>297</v>
      </c>
      <c r="P266" s="323">
        <v>534</v>
      </c>
      <c r="Q266" s="323">
        <v>464</v>
      </c>
      <c r="R266" s="323">
        <v>222</v>
      </c>
      <c r="S266" s="323">
        <v>166</v>
      </c>
      <c r="T266" s="323">
        <v>75</v>
      </c>
      <c r="U266" s="323">
        <v>55</v>
      </c>
      <c r="V266" s="323">
        <v>11</v>
      </c>
      <c r="W266" s="323">
        <v>1824</v>
      </c>
      <c r="X266" s="329" t="s">
        <v>934</v>
      </c>
      <c r="Y266" s="330">
        <v>0</v>
      </c>
      <c r="Z266" s="330">
        <v>0</v>
      </c>
      <c r="AA266" s="330">
        <v>0</v>
      </c>
      <c r="AB266" s="330">
        <v>0</v>
      </c>
      <c r="AC266" s="330">
        <v>0</v>
      </c>
      <c r="AD266" s="330">
        <v>0</v>
      </c>
      <c r="AE266" s="330">
        <v>0</v>
      </c>
      <c r="AF266" s="330">
        <v>0</v>
      </c>
      <c r="AG266" s="328">
        <v>0</v>
      </c>
      <c r="AH266" s="329" t="s">
        <v>934</v>
      </c>
      <c r="AI266" s="184">
        <v>10</v>
      </c>
      <c r="AJ266" s="184">
        <v>19</v>
      </c>
      <c r="AK266" s="184">
        <v>74</v>
      </c>
      <c r="AL266" s="184">
        <v>54</v>
      </c>
      <c r="AM266" s="184">
        <v>63</v>
      </c>
      <c r="AN266" s="184">
        <v>42</v>
      </c>
      <c r="AO266" s="184">
        <v>23</v>
      </c>
      <c r="AP266" s="184">
        <v>7</v>
      </c>
      <c r="AQ266" s="336">
        <v>292</v>
      </c>
      <c r="AR266" s="323">
        <v>2</v>
      </c>
      <c r="AS266" s="323">
        <v>929</v>
      </c>
      <c r="AT266" s="323">
        <v>3099</v>
      </c>
      <c r="AU266" s="323">
        <v>5920</v>
      </c>
      <c r="AV266" s="323">
        <v>2749</v>
      </c>
      <c r="AW266" s="323">
        <v>1793</v>
      </c>
      <c r="AX266" s="323">
        <v>918</v>
      </c>
      <c r="AY266" s="323">
        <v>382</v>
      </c>
      <c r="AZ266" s="323">
        <v>20</v>
      </c>
      <c r="BA266" s="323">
        <v>15812</v>
      </c>
      <c r="BB266" s="331">
        <v>0</v>
      </c>
      <c r="BC266" s="330">
        <v>6</v>
      </c>
      <c r="BD266" s="330">
        <v>33</v>
      </c>
      <c r="BE266" s="330">
        <v>127</v>
      </c>
      <c r="BF266" s="330">
        <v>76</v>
      </c>
      <c r="BG266" s="330">
        <v>55</v>
      </c>
      <c r="BH266" s="330">
        <v>25</v>
      </c>
      <c r="BI266" s="330">
        <v>7</v>
      </c>
      <c r="BJ266" s="330">
        <v>2</v>
      </c>
      <c r="BK266" s="328">
        <v>331</v>
      </c>
      <c r="BL266" s="323">
        <v>0</v>
      </c>
      <c r="BM266" s="323">
        <v>2</v>
      </c>
      <c r="BN266" s="323">
        <v>0</v>
      </c>
      <c r="BO266" s="323">
        <v>5</v>
      </c>
      <c r="BP266" s="323">
        <v>7</v>
      </c>
      <c r="BQ266" s="323">
        <v>10</v>
      </c>
      <c r="BR266" s="323">
        <v>11</v>
      </c>
      <c r="BS266" s="323">
        <v>12</v>
      </c>
      <c r="BT266" s="323">
        <v>8</v>
      </c>
      <c r="BU266" s="323">
        <v>55</v>
      </c>
      <c r="BV266" s="329" t="s">
        <v>934</v>
      </c>
      <c r="BW266" s="330">
        <v>44</v>
      </c>
      <c r="BX266" s="330">
        <v>68</v>
      </c>
      <c r="BY266" s="330">
        <v>94</v>
      </c>
      <c r="BZ266" s="330">
        <v>49</v>
      </c>
      <c r="CA266" s="330">
        <v>60</v>
      </c>
      <c r="CB266" s="330">
        <v>34</v>
      </c>
      <c r="CC266" s="330">
        <v>19</v>
      </c>
      <c r="CD266" s="330">
        <v>2</v>
      </c>
      <c r="CE266" s="328">
        <v>370</v>
      </c>
      <c r="CF266" s="322" t="s">
        <v>934</v>
      </c>
      <c r="CG266" s="323">
        <v>163</v>
      </c>
      <c r="CH266" s="323">
        <v>108</v>
      </c>
      <c r="CI266" s="323">
        <v>151</v>
      </c>
      <c r="CJ266" s="323">
        <v>103</v>
      </c>
      <c r="CK266" s="323">
        <v>56</v>
      </c>
      <c r="CL266" s="323">
        <v>41</v>
      </c>
      <c r="CM266" s="323">
        <v>24</v>
      </c>
      <c r="CN266" s="323">
        <v>4</v>
      </c>
      <c r="CO266" s="323">
        <v>650</v>
      </c>
      <c r="CP266" s="329" t="s">
        <v>934</v>
      </c>
      <c r="CQ266" s="330">
        <v>0</v>
      </c>
      <c r="CR266" s="330">
        <v>0</v>
      </c>
      <c r="CS266" s="330">
        <v>0</v>
      </c>
      <c r="CT266" s="330">
        <v>0</v>
      </c>
      <c r="CU266" s="330">
        <v>0</v>
      </c>
      <c r="CV266" s="330">
        <v>0</v>
      </c>
      <c r="CW266" s="330">
        <v>0</v>
      </c>
      <c r="CX266" s="330">
        <v>0</v>
      </c>
      <c r="CY266" s="328">
        <v>0</v>
      </c>
      <c r="CZ266" s="322" t="s">
        <v>934</v>
      </c>
      <c r="DA266" s="323">
        <v>0</v>
      </c>
      <c r="DB266" s="323">
        <v>0</v>
      </c>
      <c r="DC266" s="323">
        <v>0</v>
      </c>
      <c r="DD266" s="323">
        <v>0</v>
      </c>
      <c r="DE266" s="323">
        <v>0</v>
      </c>
      <c r="DF266" s="323">
        <v>0</v>
      </c>
      <c r="DG266" s="323">
        <v>0</v>
      </c>
      <c r="DH266" s="323">
        <v>0</v>
      </c>
      <c r="DI266" s="323">
        <v>0</v>
      </c>
      <c r="DJ266" s="337">
        <v>351.3</v>
      </c>
      <c r="DK266" s="644">
        <v>55994.7</v>
      </c>
      <c r="DL266" s="616">
        <v>2344</v>
      </c>
      <c r="DM266" s="616">
        <v>6241</v>
      </c>
      <c r="DN266" s="616">
        <v>18225</v>
      </c>
      <c r="DO266" s="616">
        <v>11045</v>
      </c>
      <c r="DP266" s="616">
        <v>10225</v>
      </c>
      <c r="DQ266" s="616">
        <v>6762</v>
      </c>
      <c r="DR266" s="616">
        <v>3790</v>
      </c>
      <c r="DS266" s="617">
        <v>336</v>
      </c>
      <c r="DT266" s="607">
        <f t="shared" si="4"/>
        <v>58968</v>
      </c>
      <c r="DU266" s="342"/>
      <c r="EC266" s="646"/>
      <c r="EF266" s="125"/>
      <c r="EG266" s="124"/>
    </row>
    <row r="267" spans="1:137" ht="15">
      <c r="A267" s="22">
        <v>259</v>
      </c>
      <c r="B267" s="23" t="s">
        <v>661</v>
      </c>
      <c r="C267" s="24" t="s">
        <v>662</v>
      </c>
      <c r="D267" s="613"/>
      <c r="E267" s="629">
        <v>10366</v>
      </c>
      <c r="F267" s="629">
        <v>8657</v>
      </c>
      <c r="G267" s="629">
        <v>6363</v>
      </c>
      <c r="H267" s="629">
        <v>5909</v>
      </c>
      <c r="I267" s="629">
        <v>3308</v>
      </c>
      <c r="J267" s="629">
        <v>1775</v>
      </c>
      <c r="K267" s="629">
        <v>870</v>
      </c>
      <c r="L267" s="629">
        <v>81</v>
      </c>
      <c r="M267" s="627">
        <v>37329</v>
      </c>
      <c r="N267" s="322"/>
      <c r="O267" s="323">
        <v>300</v>
      </c>
      <c r="P267" s="323">
        <v>177</v>
      </c>
      <c r="Q267" s="323">
        <v>115</v>
      </c>
      <c r="R267" s="323">
        <v>88</v>
      </c>
      <c r="S267" s="323">
        <v>42</v>
      </c>
      <c r="T267" s="323">
        <v>28</v>
      </c>
      <c r="U267" s="323">
        <v>16</v>
      </c>
      <c r="V267" s="323">
        <v>9</v>
      </c>
      <c r="W267" s="323">
        <v>775</v>
      </c>
      <c r="X267" s="329" t="s">
        <v>934</v>
      </c>
      <c r="Y267" s="330">
        <v>0</v>
      </c>
      <c r="Z267" s="330">
        <v>1</v>
      </c>
      <c r="AA267" s="330">
        <v>0</v>
      </c>
      <c r="AB267" s="330">
        <v>0</v>
      </c>
      <c r="AC267" s="330">
        <v>0</v>
      </c>
      <c r="AD267" s="330">
        <v>0</v>
      </c>
      <c r="AE267" s="330">
        <v>0</v>
      </c>
      <c r="AF267" s="330">
        <v>0</v>
      </c>
      <c r="AG267" s="328">
        <v>1</v>
      </c>
      <c r="AH267" s="329" t="s">
        <v>934</v>
      </c>
      <c r="AI267" s="184">
        <v>26</v>
      </c>
      <c r="AJ267" s="184">
        <v>57</v>
      </c>
      <c r="AK267" s="184">
        <v>39</v>
      </c>
      <c r="AL267" s="184">
        <v>37</v>
      </c>
      <c r="AM267" s="184">
        <v>19</v>
      </c>
      <c r="AN267" s="184">
        <v>15</v>
      </c>
      <c r="AO267" s="184">
        <v>10</v>
      </c>
      <c r="AP267" s="184">
        <v>9</v>
      </c>
      <c r="AQ267" s="336">
        <v>212</v>
      </c>
      <c r="AR267" s="323">
        <v>4</v>
      </c>
      <c r="AS267" s="323">
        <v>4451</v>
      </c>
      <c r="AT267" s="323">
        <v>2667</v>
      </c>
      <c r="AU267" s="323">
        <v>1664</v>
      </c>
      <c r="AV267" s="323">
        <v>1051</v>
      </c>
      <c r="AW267" s="323">
        <v>491</v>
      </c>
      <c r="AX267" s="323">
        <v>236</v>
      </c>
      <c r="AY267" s="323">
        <v>83</v>
      </c>
      <c r="AZ267" s="323">
        <v>14</v>
      </c>
      <c r="BA267" s="323">
        <v>10661</v>
      </c>
      <c r="BB267" s="331">
        <v>0</v>
      </c>
      <c r="BC267" s="330">
        <v>79</v>
      </c>
      <c r="BD267" s="330">
        <v>48</v>
      </c>
      <c r="BE267" s="330">
        <v>30</v>
      </c>
      <c r="BF267" s="330">
        <v>19</v>
      </c>
      <c r="BG267" s="330">
        <v>9</v>
      </c>
      <c r="BH267" s="330">
        <v>4</v>
      </c>
      <c r="BI267" s="330">
        <v>1</v>
      </c>
      <c r="BJ267" s="330">
        <v>0</v>
      </c>
      <c r="BK267" s="328">
        <v>190</v>
      </c>
      <c r="BL267" s="323">
        <v>0</v>
      </c>
      <c r="BM267" s="323">
        <v>4</v>
      </c>
      <c r="BN267" s="323">
        <v>2</v>
      </c>
      <c r="BO267" s="323">
        <v>2</v>
      </c>
      <c r="BP267" s="323">
        <v>1</v>
      </c>
      <c r="BQ267" s="323">
        <v>1</v>
      </c>
      <c r="BR267" s="323">
        <v>0</v>
      </c>
      <c r="BS267" s="323">
        <v>1</v>
      </c>
      <c r="BT267" s="323">
        <v>0</v>
      </c>
      <c r="BU267" s="323">
        <v>11</v>
      </c>
      <c r="BV267" s="329" t="s">
        <v>934</v>
      </c>
      <c r="BW267" s="330">
        <v>21</v>
      </c>
      <c r="BX267" s="330">
        <v>12</v>
      </c>
      <c r="BY267" s="330">
        <v>10</v>
      </c>
      <c r="BZ267" s="330">
        <v>8</v>
      </c>
      <c r="CA267" s="330">
        <v>4</v>
      </c>
      <c r="CB267" s="330">
        <v>3</v>
      </c>
      <c r="CC267" s="330">
        <v>2</v>
      </c>
      <c r="CD267" s="330">
        <v>0</v>
      </c>
      <c r="CE267" s="328">
        <v>60</v>
      </c>
      <c r="CF267" s="322" t="s">
        <v>934</v>
      </c>
      <c r="CG267" s="323">
        <v>203</v>
      </c>
      <c r="CH267" s="323">
        <v>114</v>
      </c>
      <c r="CI267" s="323">
        <v>100</v>
      </c>
      <c r="CJ267" s="323">
        <v>79</v>
      </c>
      <c r="CK267" s="323">
        <v>40</v>
      </c>
      <c r="CL267" s="323">
        <v>27</v>
      </c>
      <c r="CM267" s="323">
        <v>26</v>
      </c>
      <c r="CN267" s="323">
        <v>4</v>
      </c>
      <c r="CO267" s="323">
        <v>593</v>
      </c>
      <c r="CP267" s="329" t="s">
        <v>934</v>
      </c>
      <c r="CQ267" s="330">
        <v>0</v>
      </c>
      <c r="CR267" s="330">
        <v>0</v>
      </c>
      <c r="CS267" s="330">
        <v>0</v>
      </c>
      <c r="CT267" s="330">
        <v>0</v>
      </c>
      <c r="CU267" s="330">
        <v>0</v>
      </c>
      <c r="CV267" s="330">
        <v>0</v>
      </c>
      <c r="CW267" s="330">
        <v>0</v>
      </c>
      <c r="CX267" s="330">
        <v>0</v>
      </c>
      <c r="CY267" s="328">
        <v>0</v>
      </c>
      <c r="CZ267" s="322" t="s">
        <v>934</v>
      </c>
      <c r="DA267" s="323">
        <v>0</v>
      </c>
      <c r="DB267" s="323">
        <v>0</v>
      </c>
      <c r="DC267" s="323">
        <v>0</v>
      </c>
      <c r="DD267" s="323">
        <v>0</v>
      </c>
      <c r="DE267" s="323">
        <v>0</v>
      </c>
      <c r="DF267" s="323">
        <v>0</v>
      </c>
      <c r="DG267" s="323">
        <v>0</v>
      </c>
      <c r="DH267" s="323">
        <v>0</v>
      </c>
      <c r="DI267" s="323">
        <v>0</v>
      </c>
      <c r="DJ267" s="337">
        <v>0</v>
      </c>
      <c r="DK267" s="644">
        <v>30226.6</v>
      </c>
      <c r="DL267" s="616">
        <v>10536</v>
      </c>
      <c r="DM267" s="616">
        <v>8802</v>
      </c>
      <c r="DN267" s="616">
        <v>6474</v>
      </c>
      <c r="DO267" s="616">
        <v>5987</v>
      </c>
      <c r="DP267" s="616">
        <v>3356</v>
      </c>
      <c r="DQ267" s="616">
        <v>1776</v>
      </c>
      <c r="DR267" s="616">
        <v>880</v>
      </c>
      <c r="DS267" s="617">
        <v>80</v>
      </c>
      <c r="DT267" s="607">
        <f t="shared" si="4"/>
        <v>37891</v>
      </c>
      <c r="DU267" s="342"/>
      <c r="EC267" s="646"/>
      <c r="EF267" s="125"/>
      <c r="EG267" s="124"/>
    </row>
    <row r="268" spans="1:137" ht="15">
      <c r="A268" s="22">
        <v>260</v>
      </c>
      <c r="B268" s="23" t="s">
        <v>663</v>
      </c>
      <c r="C268" s="24" t="s">
        <v>664</v>
      </c>
      <c r="D268" s="613"/>
      <c r="E268" s="626">
        <v>11217</v>
      </c>
      <c r="F268" s="626">
        <v>31884</v>
      </c>
      <c r="G268" s="626">
        <v>25458</v>
      </c>
      <c r="H268" s="626">
        <v>18553</v>
      </c>
      <c r="I268" s="626">
        <v>10882</v>
      </c>
      <c r="J268" s="626">
        <v>5298</v>
      </c>
      <c r="K268" s="626">
        <v>1859</v>
      </c>
      <c r="L268" s="626">
        <v>174</v>
      </c>
      <c r="M268" s="631">
        <v>105325</v>
      </c>
      <c r="N268" s="322"/>
      <c r="O268" s="323">
        <v>506</v>
      </c>
      <c r="P268" s="323">
        <v>792</v>
      </c>
      <c r="Q268" s="323">
        <v>411</v>
      </c>
      <c r="R268" s="323">
        <v>245</v>
      </c>
      <c r="S268" s="323">
        <v>157</v>
      </c>
      <c r="T268" s="323">
        <v>225</v>
      </c>
      <c r="U268" s="323">
        <v>43</v>
      </c>
      <c r="V268" s="323">
        <v>2</v>
      </c>
      <c r="W268" s="323">
        <v>2381</v>
      </c>
      <c r="X268" s="329" t="s">
        <v>934</v>
      </c>
      <c r="Y268" s="330">
        <v>1</v>
      </c>
      <c r="Z268" s="330">
        <v>0</v>
      </c>
      <c r="AA268" s="330">
        <v>1</v>
      </c>
      <c r="AB268" s="330">
        <v>0</v>
      </c>
      <c r="AC268" s="330">
        <v>0</v>
      </c>
      <c r="AD268" s="330">
        <v>0</v>
      </c>
      <c r="AE268" s="330">
        <v>0</v>
      </c>
      <c r="AF268" s="330">
        <v>0</v>
      </c>
      <c r="AG268" s="328">
        <v>2</v>
      </c>
      <c r="AH268" s="329" t="s">
        <v>934</v>
      </c>
      <c r="AI268" s="184">
        <v>33</v>
      </c>
      <c r="AJ268" s="184">
        <v>126</v>
      </c>
      <c r="AK268" s="184">
        <v>140</v>
      </c>
      <c r="AL268" s="184">
        <v>99</v>
      </c>
      <c r="AM268" s="184">
        <v>76</v>
      </c>
      <c r="AN268" s="184">
        <v>36</v>
      </c>
      <c r="AO268" s="184">
        <v>27</v>
      </c>
      <c r="AP268" s="184">
        <v>19</v>
      </c>
      <c r="AQ268" s="336">
        <v>556</v>
      </c>
      <c r="AR268" s="323">
        <v>13</v>
      </c>
      <c r="AS268" s="323">
        <v>6330</v>
      </c>
      <c r="AT268" s="323">
        <v>10600</v>
      </c>
      <c r="AU268" s="323">
        <v>6700</v>
      </c>
      <c r="AV268" s="323">
        <v>3576</v>
      </c>
      <c r="AW268" s="323">
        <v>1448</v>
      </c>
      <c r="AX268" s="323">
        <v>505</v>
      </c>
      <c r="AY268" s="323">
        <v>164</v>
      </c>
      <c r="AZ268" s="323">
        <v>14</v>
      </c>
      <c r="BA268" s="323">
        <v>29350</v>
      </c>
      <c r="BB268" s="331">
        <v>3</v>
      </c>
      <c r="BC268" s="330">
        <v>74</v>
      </c>
      <c r="BD268" s="330">
        <v>346</v>
      </c>
      <c r="BE268" s="330">
        <v>243</v>
      </c>
      <c r="BF268" s="330">
        <v>174</v>
      </c>
      <c r="BG268" s="330">
        <v>87</v>
      </c>
      <c r="BH268" s="330">
        <v>33</v>
      </c>
      <c r="BI268" s="330">
        <v>11</v>
      </c>
      <c r="BJ268" s="330">
        <v>2</v>
      </c>
      <c r="BK268" s="328">
        <v>973</v>
      </c>
      <c r="BL268" s="323">
        <v>0</v>
      </c>
      <c r="BM268" s="323">
        <v>3</v>
      </c>
      <c r="BN268" s="323">
        <v>19</v>
      </c>
      <c r="BO268" s="323">
        <v>16</v>
      </c>
      <c r="BP268" s="323">
        <v>17</v>
      </c>
      <c r="BQ268" s="323">
        <v>26</v>
      </c>
      <c r="BR268" s="323">
        <v>23</v>
      </c>
      <c r="BS268" s="323">
        <v>33</v>
      </c>
      <c r="BT268" s="323">
        <v>9</v>
      </c>
      <c r="BU268" s="323">
        <v>146</v>
      </c>
      <c r="BV268" s="329" t="s">
        <v>934</v>
      </c>
      <c r="BW268" s="330">
        <v>96</v>
      </c>
      <c r="BX268" s="330">
        <v>130</v>
      </c>
      <c r="BY268" s="330">
        <v>91</v>
      </c>
      <c r="BZ268" s="330">
        <v>42</v>
      </c>
      <c r="CA268" s="330">
        <v>19</v>
      </c>
      <c r="CB268" s="330">
        <v>17</v>
      </c>
      <c r="CC268" s="330">
        <v>16</v>
      </c>
      <c r="CD268" s="330">
        <v>4</v>
      </c>
      <c r="CE268" s="328">
        <v>415</v>
      </c>
      <c r="CF268" s="322" t="s">
        <v>934</v>
      </c>
      <c r="CG268" s="323">
        <v>0</v>
      </c>
      <c r="CH268" s="323">
        <v>0</v>
      </c>
      <c r="CI268" s="323">
        <v>0</v>
      </c>
      <c r="CJ268" s="323">
        <v>0</v>
      </c>
      <c r="CK268" s="323">
        <v>0</v>
      </c>
      <c r="CL268" s="323">
        <v>0</v>
      </c>
      <c r="CM268" s="323">
        <v>0</v>
      </c>
      <c r="CN268" s="323">
        <v>0</v>
      </c>
      <c r="CO268" s="323">
        <v>0</v>
      </c>
      <c r="CP268" s="329" t="s">
        <v>934</v>
      </c>
      <c r="CQ268" s="330">
        <v>109</v>
      </c>
      <c r="CR268" s="330">
        <v>102</v>
      </c>
      <c r="CS268" s="330">
        <v>68</v>
      </c>
      <c r="CT268" s="330">
        <v>46</v>
      </c>
      <c r="CU268" s="330">
        <v>46</v>
      </c>
      <c r="CV268" s="330">
        <v>17</v>
      </c>
      <c r="CW268" s="330">
        <v>7</v>
      </c>
      <c r="CX268" s="330">
        <v>3</v>
      </c>
      <c r="CY268" s="328">
        <v>398</v>
      </c>
      <c r="CZ268" s="322" t="s">
        <v>934</v>
      </c>
      <c r="DA268" s="323">
        <v>0</v>
      </c>
      <c r="DB268" s="323">
        <v>0</v>
      </c>
      <c r="DC268" s="323">
        <v>0</v>
      </c>
      <c r="DD268" s="323">
        <v>0</v>
      </c>
      <c r="DE268" s="323">
        <v>0</v>
      </c>
      <c r="DF268" s="323">
        <v>0</v>
      </c>
      <c r="DG268" s="323">
        <v>0</v>
      </c>
      <c r="DH268" s="323">
        <v>0</v>
      </c>
      <c r="DI268" s="323">
        <v>0</v>
      </c>
      <c r="DJ268" s="337">
        <v>298.2</v>
      </c>
      <c r="DK268" s="644">
        <v>89215.8</v>
      </c>
      <c r="DL268" s="614">
        <v>11386</v>
      </c>
      <c r="DM268" s="614">
        <v>32165</v>
      </c>
      <c r="DN268" s="614">
        <v>25548</v>
      </c>
      <c r="DO268" s="614">
        <v>18956</v>
      </c>
      <c r="DP268" s="614">
        <v>10931</v>
      </c>
      <c r="DQ268" s="614">
        <v>5288</v>
      </c>
      <c r="DR268" s="614">
        <v>1858</v>
      </c>
      <c r="DS268" s="615">
        <v>174</v>
      </c>
      <c r="DT268" s="607">
        <f t="shared" si="4"/>
        <v>106306</v>
      </c>
      <c r="DU268" s="342"/>
      <c r="EC268" s="646"/>
      <c r="EF268" s="123"/>
      <c r="EG268" s="124"/>
    </row>
    <row r="269" spans="1:137" ht="15">
      <c r="A269" s="22">
        <v>261</v>
      </c>
      <c r="B269" s="23" t="s">
        <v>665</v>
      </c>
      <c r="C269" s="24" t="s">
        <v>666</v>
      </c>
      <c r="D269" s="613"/>
      <c r="E269" s="628">
        <v>4778</v>
      </c>
      <c r="F269" s="628">
        <v>8257</v>
      </c>
      <c r="G269" s="628">
        <v>8198</v>
      </c>
      <c r="H269" s="628">
        <v>7709</v>
      </c>
      <c r="I269" s="628">
        <v>6081</v>
      </c>
      <c r="J269" s="628">
        <v>3416</v>
      </c>
      <c r="K269" s="628">
        <v>2804</v>
      </c>
      <c r="L269" s="628">
        <v>251</v>
      </c>
      <c r="M269" s="627">
        <v>41494</v>
      </c>
      <c r="N269" s="322"/>
      <c r="O269" s="323">
        <v>290</v>
      </c>
      <c r="P269" s="323">
        <v>228</v>
      </c>
      <c r="Q269" s="323">
        <v>186</v>
      </c>
      <c r="R269" s="323">
        <v>177</v>
      </c>
      <c r="S269" s="323">
        <v>102</v>
      </c>
      <c r="T269" s="323">
        <v>47</v>
      </c>
      <c r="U269" s="323">
        <v>63</v>
      </c>
      <c r="V269" s="323">
        <v>13</v>
      </c>
      <c r="W269" s="323">
        <v>1106</v>
      </c>
      <c r="X269" s="329" t="s">
        <v>934</v>
      </c>
      <c r="Y269" s="330">
        <v>0</v>
      </c>
      <c r="Z269" s="330">
        <v>0</v>
      </c>
      <c r="AA269" s="330">
        <v>0</v>
      </c>
      <c r="AB269" s="330">
        <v>0</v>
      </c>
      <c r="AC269" s="330">
        <v>0</v>
      </c>
      <c r="AD269" s="330">
        <v>0</v>
      </c>
      <c r="AE269" s="330">
        <v>0</v>
      </c>
      <c r="AF269" s="330">
        <v>0</v>
      </c>
      <c r="AG269" s="328">
        <v>0</v>
      </c>
      <c r="AH269" s="329" t="s">
        <v>934</v>
      </c>
      <c r="AI269" s="184">
        <v>11</v>
      </c>
      <c r="AJ269" s="184">
        <v>21</v>
      </c>
      <c r="AK269" s="184">
        <v>49</v>
      </c>
      <c r="AL269" s="184">
        <v>55</v>
      </c>
      <c r="AM269" s="184">
        <v>49</v>
      </c>
      <c r="AN269" s="184">
        <v>27</v>
      </c>
      <c r="AO269" s="184">
        <v>41</v>
      </c>
      <c r="AP269" s="184">
        <v>10</v>
      </c>
      <c r="AQ269" s="336">
        <v>263</v>
      </c>
      <c r="AR269" s="323">
        <v>6</v>
      </c>
      <c r="AS269" s="323">
        <v>2469</v>
      </c>
      <c r="AT269" s="323">
        <v>3188</v>
      </c>
      <c r="AU269" s="323">
        <v>2452</v>
      </c>
      <c r="AV269" s="323">
        <v>1897</v>
      </c>
      <c r="AW269" s="323">
        <v>1165</v>
      </c>
      <c r="AX269" s="323">
        <v>535</v>
      </c>
      <c r="AY269" s="323">
        <v>398</v>
      </c>
      <c r="AZ269" s="323">
        <v>28</v>
      </c>
      <c r="BA269" s="323">
        <v>12138</v>
      </c>
      <c r="BB269" s="331">
        <v>0</v>
      </c>
      <c r="BC269" s="330">
        <v>17</v>
      </c>
      <c r="BD269" s="330">
        <v>50</v>
      </c>
      <c r="BE269" s="330">
        <v>53</v>
      </c>
      <c r="BF269" s="330">
        <v>47</v>
      </c>
      <c r="BG269" s="330">
        <v>40</v>
      </c>
      <c r="BH269" s="330">
        <v>9</v>
      </c>
      <c r="BI269" s="330">
        <v>11</v>
      </c>
      <c r="BJ269" s="330">
        <v>0</v>
      </c>
      <c r="BK269" s="328">
        <v>227</v>
      </c>
      <c r="BL269" s="323">
        <v>0</v>
      </c>
      <c r="BM269" s="323">
        <v>0</v>
      </c>
      <c r="BN269" s="323">
        <v>4</v>
      </c>
      <c r="BO269" s="323">
        <v>12</v>
      </c>
      <c r="BP269" s="323">
        <v>6</v>
      </c>
      <c r="BQ269" s="323">
        <v>8</v>
      </c>
      <c r="BR269" s="323">
        <v>22</v>
      </c>
      <c r="BS269" s="323">
        <v>16</v>
      </c>
      <c r="BT269" s="323">
        <v>1</v>
      </c>
      <c r="BU269" s="323">
        <v>69</v>
      </c>
      <c r="BV269" s="329" t="s">
        <v>934</v>
      </c>
      <c r="BW269" s="330">
        <v>578</v>
      </c>
      <c r="BX269" s="330">
        <v>443</v>
      </c>
      <c r="BY269" s="330">
        <v>616</v>
      </c>
      <c r="BZ269" s="330">
        <v>812</v>
      </c>
      <c r="CA269" s="330">
        <v>714</v>
      </c>
      <c r="CB269" s="330">
        <v>513</v>
      </c>
      <c r="CC269" s="330">
        <v>467</v>
      </c>
      <c r="CD269" s="330">
        <v>64</v>
      </c>
      <c r="CE269" s="328">
        <v>4207</v>
      </c>
      <c r="CF269" s="322" t="s">
        <v>934</v>
      </c>
      <c r="CG269" s="323">
        <v>0</v>
      </c>
      <c r="CH269" s="323">
        <v>0</v>
      </c>
      <c r="CI269" s="323">
        <v>0</v>
      </c>
      <c r="CJ269" s="323">
        <v>0</v>
      </c>
      <c r="CK269" s="323">
        <v>0</v>
      </c>
      <c r="CL269" s="323">
        <v>0</v>
      </c>
      <c r="CM269" s="323">
        <v>0</v>
      </c>
      <c r="CN269" s="323">
        <v>0</v>
      </c>
      <c r="CO269" s="323">
        <v>0</v>
      </c>
      <c r="CP269" s="329" t="s">
        <v>934</v>
      </c>
      <c r="CQ269" s="330">
        <v>83</v>
      </c>
      <c r="CR269" s="330">
        <v>105</v>
      </c>
      <c r="CS269" s="330">
        <v>75</v>
      </c>
      <c r="CT269" s="330">
        <v>63</v>
      </c>
      <c r="CU269" s="330">
        <v>55</v>
      </c>
      <c r="CV269" s="330">
        <v>39</v>
      </c>
      <c r="CW269" s="330">
        <v>27</v>
      </c>
      <c r="CX269" s="330">
        <v>4</v>
      </c>
      <c r="CY269" s="328">
        <v>451</v>
      </c>
      <c r="CZ269" s="322" t="s">
        <v>934</v>
      </c>
      <c r="DA269" s="323">
        <v>0</v>
      </c>
      <c r="DB269" s="323">
        <v>0</v>
      </c>
      <c r="DC269" s="323">
        <v>0</v>
      </c>
      <c r="DD269" s="323">
        <v>0</v>
      </c>
      <c r="DE269" s="323">
        <v>0</v>
      </c>
      <c r="DF269" s="323">
        <v>0</v>
      </c>
      <c r="DG269" s="323">
        <v>0</v>
      </c>
      <c r="DH269" s="323">
        <v>0</v>
      </c>
      <c r="DI269" s="323">
        <v>0</v>
      </c>
      <c r="DJ269" s="337">
        <v>62.1</v>
      </c>
      <c r="DK269" s="644">
        <v>35940.4</v>
      </c>
      <c r="DL269" s="614">
        <v>4774</v>
      </c>
      <c r="DM269" s="614">
        <v>8299</v>
      </c>
      <c r="DN269" s="614">
        <v>8231</v>
      </c>
      <c r="DO269" s="614">
        <v>7716</v>
      </c>
      <c r="DP269" s="614">
        <v>6128</v>
      </c>
      <c r="DQ269" s="614">
        <v>3415</v>
      </c>
      <c r="DR269" s="614">
        <v>2828</v>
      </c>
      <c r="DS269" s="615">
        <v>253</v>
      </c>
      <c r="DT269" s="607">
        <f t="shared" si="4"/>
        <v>41644</v>
      </c>
      <c r="DU269" s="342"/>
      <c r="EC269" s="646"/>
      <c r="EF269" s="126"/>
      <c r="EG269" s="124"/>
    </row>
    <row r="270" spans="1:137" ht="15">
      <c r="A270" s="22">
        <v>262</v>
      </c>
      <c r="B270" s="23" t="s">
        <v>667</v>
      </c>
      <c r="C270" s="24" t="s">
        <v>668</v>
      </c>
      <c r="D270" s="613"/>
      <c r="E270" s="630">
        <v>13852</v>
      </c>
      <c r="F270" s="630">
        <v>7826</v>
      </c>
      <c r="G270" s="630">
        <v>9181</v>
      </c>
      <c r="H270" s="630">
        <v>3729</v>
      </c>
      <c r="I270" s="630">
        <v>1610</v>
      </c>
      <c r="J270" s="630">
        <v>330</v>
      </c>
      <c r="K270" s="630">
        <v>98</v>
      </c>
      <c r="L270" s="630">
        <v>13</v>
      </c>
      <c r="M270" s="627">
        <v>36639</v>
      </c>
      <c r="N270" s="322"/>
      <c r="O270" s="323">
        <v>389</v>
      </c>
      <c r="P270" s="323">
        <v>135</v>
      </c>
      <c r="Q270" s="323">
        <v>110</v>
      </c>
      <c r="R270" s="323">
        <v>39</v>
      </c>
      <c r="S270" s="323">
        <v>15</v>
      </c>
      <c r="T270" s="323">
        <v>10</v>
      </c>
      <c r="U270" s="323">
        <v>3</v>
      </c>
      <c r="V270" s="323">
        <v>0</v>
      </c>
      <c r="W270" s="323">
        <v>701</v>
      </c>
      <c r="X270" s="329" t="s">
        <v>934</v>
      </c>
      <c r="Y270" s="330">
        <v>2</v>
      </c>
      <c r="Z270" s="330">
        <v>2</v>
      </c>
      <c r="AA270" s="330">
        <v>0</v>
      </c>
      <c r="AB270" s="330">
        <v>0</v>
      </c>
      <c r="AC270" s="330">
        <v>0</v>
      </c>
      <c r="AD270" s="330">
        <v>0</v>
      </c>
      <c r="AE270" s="330">
        <v>0</v>
      </c>
      <c r="AF270" s="330">
        <v>0</v>
      </c>
      <c r="AG270" s="328">
        <v>4</v>
      </c>
      <c r="AH270" s="329" t="s">
        <v>934</v>
      </c>
      <c r="AI270" s="184">
        <v>28</v>
      </c>
      <c r="AJ270" s="184">
        <v>54</v>
      </c>
      <c r="AK270" s="184">
        <v>92</v>
      </c>
      <c r="AL270" s="184">
        <v>58</v>
      </c>
      <c r="AM270" s="184">
        <v>22</v>
      </c>
      <c r="AN270" s="184">
        <v>8</v>
      </c>
      <c r="AO270" s="184">
        <v>8</v>
      </c>
      <c r="AP270" s="184">
        <v>7</v>
      </c>
      <c r="AQ270" s="336">
        <v>277</v>
      </c>
      <c r="AR270" s="323">
        <v>6</v>
      </c>
      <c r="AS270" s="323">
        <v>5361</v>
      </c>
      <c r="AT270" s="323">
        <v>2308</v>
      </c>
      <c r="AU270" s="323">
        <v>1895</v>
      </c>
      <c r="AV270" s="323">
        <v>552</v>
      </c>
      <c r="AW270" s="323">
        <v>194</v>
      </c>
      <c r="AX270" s="323">
        <v>25</v>
      </c>
      <c r="AY270" s="323">
        <v>11</v>
      </c>
      <c r="AZ270" s="323">
        <v>0</v>
      </c>
      <c r="BA270" s="323">
        <v>10352</v>
      </c>
      <c r="BB270" s="331">
        <v>0</v>
      </c>
      <c r="BC270" s="330">
        <v>48</v>
      </c>
      <c r="BD270" s="330">
        <v>35</v>
      </c>
      <c r="BE270" s="330">
        <v>41</v>
      </c>
      <c r="BF270" s="330">
        <v>9</v>
      </c>
      <c r="BG270" s="330">
        <v>2</v>
      </c>
      <c r="BH270" s="330">
        <v>0</v>
      </c>
      <c r="BI270" s="330">
        <v>0</v>
      </c>
      <c r="BJ270" s="330">
        <v>0</v>
      </c>
      <c r="BK270" s="328">
        <v>135</v>
      </c>
      <c r="BL270" s="323">
        <v>0</v>
      </c>
      <c r="BM270" s="323">
        <v>3</v>
      </c>
      <c r="BN270" s="323">
        <v>10</v>
      </c>
      <c r="BO270" s="323">
        <v>9</v>
      </c>
      <c r="BP270" s="323">
        <v>6</v>
      </c>
      <c r="BQ270" s="323">
        <v>3</v>
      </c>
      <c r="BR270" s="323">
        <v>8</v>
      </c>
      <c r="BS270" s="323">
        <v>10</v>
      </c>
      <c r="BT270" s="323">
        <v>1</v>
      </c>
      <c r="BU270" s="323">
        <v>50</v>
      </c>
      <c r="BV270" s="329" t="s">
        <v>934</v>
      </c>
      <c r="BW270" s="330">
        <v>74</v>
      </c>
      <c r="BX270" s="330">
        <v>36</v>
      </c>
      <c r="BY270" s="330">
        <v>36</v>
      </c>
      <c r="BZ270" s="330">
        <v>15</v>
      </c>
      <c r="CA270" s="330">
        <v>11</v>
      </c>
      <c r="CB270" s="330">
        <v>2</v>
      </c>
      <c r="CC270" s="330">
        <v>1</v>
      </c>
      <c r="CD270" s="330">
        <v>0</v>
      </c>
      <c r="CE270" s="328">
        <v>175</v>
      </c>
      <c r="CF270" s="322" t="s">
        <v>934</v>
      </c>
      <c r="CG270" s="323">
        <v>0</v>
      </c>
      <c r="CH270" s="323">
        <v>0</v>
      </c>
      <c r="CI270" s="323">
        <v>0</v>
      </c>
      <c r="CJ270" s="323">
        <v>0</v>
      </c>
      <c r="CK270" s="323">
        <v>0</v>
      </c>
      <c r="CL270" s="323">
        <v>0</v>
      </c>
      <c r="CM270" s="323">
        <v>0</v>
      </c>
      <c r="CN270" s="323">
        <v>0</v>
      </c>
      <c r="CO270" s="323">
        <v>0</v>
      </c>
      <c r="CP270" s="329" t="s">
        <v>934</v>
      </c>
      <c r="CQ270" s="330">
        <v>101</v>
      </c>
      <c r="CR270" s="330">
        <v>40</v>
      </c>
      <c r="CS270" s="330">
        <v>32</v>
      </c>
      <c r="CT270" s="330">
        <v>11</v>
      </c>
      <c r="CU270" s="330">
        <v>9</v>
      </c>
      <c r="CV270" s="330">
        <v>4</v>
      </c>
      <c r="CW270" s="330">
        <v>1</v>
      </c>
      <c r="CX270" s="330">
        <v>0</v>
      </c>
      <c r="CY270" s="328">
        <v>198</v>
      </c>
      <c r="CZ270" s="322" t="s">
        <v>934</v>
      </c>
      <c r="DA270" s="323">
        <v>0</v>
      </c>
      <c r="DB270" s="323">
        <v>0</v>
      </c>
      <c r="DC270" s="323">
        <v>0</v>
      </c>
      <c r="DD270" s="323">
        <v>0</v>
      </c>
      <c r="DE270" s="323">
        <v>0</v>
      </c>
      <c r="DF270" s="323">
        <v>0</v>
      </c>
      <c r="DG270" s="323">
        <v>0</v>
      </c>
      <c r="DH270" s="323">
        <v>0</v>
      </c>
      <c r="DI270" s="323">
        <v>0</v>
      </c>
      <c r="DJ270" s="337">
        <v>0</v>
      </c>
      <c r="DK270" s="644">
        <v>27165.1</v>
      </c>
      <c r="DL270" s="614">
        <v>14122</v>
      </c>
      <c r="DM270" s="614">
        <v>7905</v>
      </c>
      <c r="DN270" s="614">
        <v>9313</v>
      </c>
      <c r="DO270" s="614">
        <v>3801</v>
      </c>
      <c r="DP270" s="614">
        <v>1631</v>
      </c>
      <c r="DQ270" s="614">
        <v>341</v>
      </c>
      <c r="DR270" s="614">
        <v>98</v>
      </c>
      <c r="DS270" s="615">
        <v>13</v>
      </c>
      <c r="DT270" s="607">
        <f t="shared" si="4"/>
        <v>37224</v>
      </c>
      <c r="DU270" s="342"/>
      <c r="EC270" s="646"/>
      <c r="EF270" s="127"/>
      <c r="EG270" s="124"/>
    </row>
    <row r="271" spans="1:137" ht="15">
      <c r="A271" s="22">
        <v>263</v>
      </c>
      <c r="B271" s="23" t="s">
        <v>669</v>
      </c>
      <c r="C271" s="24" t="s">
        <v>670</v>
      </c>
      <c r="D271" s="613"/>
      <c r="E271" s="630">
        <v>17014</v>
      </c>
      <c r="F271" s="630">
        <v>12679</v>
      </c>
      <c r="G271" s="630">
        <v>9914</v>
      </c>
      <c r="H271" s="630">
        <v>8155</v>
      </c>
      <c r="I271" s="630">
        <v>4853</v>
      </c>
      <c r="J271" s="630">
        <v>2444</v>
      </c>
      <c r="K271" s="630">
        <v>958</v>
      </c>
      <c r="L271" s="630">
        <v>91</v>
      </c>
      <c r="M271" s="627">
        <v>56108</v>
      </c>
      <c r="N271" s="322"/>
      <c r="O271" s="323">
        <v>651</v>
      </c>
      <c r="P271" s="323">
        <v>317</v>
      </c>
      <c r="Q271" s="323">
        <v>225</v>
      </c>
      <c r="R271" s="323">
        <v>117</v>
      </c>
      <c r="S271" s="323">
        <v>71</v>
      </c>
      <c r="T271" s="323">
        <v>37</v>
      </c>
      <c r="U271" s="323">
        <v>16</v>
      </c>
      <c r="V271" s="323">
        <v>10</v>
      </c>
      <c r="W271" s="323">
        <v>1444</v>
      </c>
      <c r="X271" s="329" t="s">
        <v>934</v>
      </c>
      <c r="Y271" s="330">
        <v>0</v>
      </c>
      <c r="Z271" s="330">
        <v>0</v>
      </c>
      <c r="AA271" s="330">
        <v>0</v>
      </c>
      <c r="AB271" s="330">
        <v>0</v>
      </c>
      <c r="AC271" s="330">
        <v>0</v>
      </c>
      <c r="AD271" s="330">
        <v>0</v>
      </c>
      <c r="AE271" s="330">
        <v>0</v>
      </c>
      <c r="AF271" s="330">
        <v>0</v>
      </c>
      <c r="AG271" s="328">
        <v>0</v>
      </c>
      <c r="AH271" s="329" t="s">
        <v>934</v>
      </c>
      <c r="AI271" s="184">
        <v>27</v>
      </c>
      <c r="AJ271" s="184">
        <v>49</v>
      </c>
      <c r="AK271" s="184">
        <v>63</v>
      </c>
      <c r="AL271" s="184">
        <v>59</v>
      </c>
      <c r="AM271" s="184">
        <v>55</v>
      </c>
      <c r="AN271" s="184">
        <v>18</v>
      </c>
      <c r="AO271" s="184">
        <v>13</v>
      </c>
      <c r="AP271" s="184">
        <v>21</v>
      </c>
      <c r="AQ271" s="336">
        <v>305</v>
      </c>
      <c r="AR271" s="323">
        <v>9</v>
      </c>
      <c r="AS271" s="323">
        <v>8013</v>
      </c>
      <c r="AT271" s="323">
        <v>4293</v>
      </c>
      <c r="AU271" s="323">
        <v>2529</v>
      </c>
      <c r="AV271" s="323">
        <v>1562</v>
      </c>
      <c r="AW271" s="323">
        <v>725</v>
      </c>
      <c r="AX271" s="323">
        <v>315</v>
      </c>
      <c r="AY271" s="323">
        <v>116</v>
      </c>
      <c r="AZ271" s="323">
        <v>5</v>
      </c>
      <c r="BA271" s="323">
        <v>17567</v>
      </c>
      <c r="BB271" s="331">
        <v>0</v>
      </c>
      <c r="BC271" s="330">
        <v>91</v>
      </c>
      <c r="BD271" s="330">
        <v>73</v>
      </c>
      <c r="BE271" s="330">
        <v>41</v>
      </c>
      <c r="BF271" s="330">
        <v>32</v>
      </c>
      <c r="BG271" s="330">
        <v>26</v>
      </c>
      <c r="BH271" s="330">
        <v>12</v>
      </c>
      <c r="BI271" s="330">
        <v>0</v>
      </c>
      <c r="BJ271" s="330">
        <v>0</v>
      </c>
      <c r="BK271" s="328">
        <v>275</v>
      </c>
      <c r="BL271" s="323">
        <v>0</v>
      </c>
      <c r="BM271" s="323">
        <v>1</v>
      </c>
      <c r="BN271" s="323">
        <v>8</v>
      </c>
      <c r="BO271" s="323">
        <v>2</v>
      </c>
      <c r="BP271" s="323">
        <v>5</v>
      </c>
      <c r="BQ271" s="323">
        <v>2</v>
      </c>
      <c r="BR271" s="323">
        <v>6</v>
      </c>
      <c r="BS271" s="323">
        <v>20</v>
      </c>
      <c r="BT271" s="323">
        <v>0</v>
      </c>
      <c r="BU271" s="323">
        <v>44</v>
      </c>
      <c r="BV271" s="329" t="s">
        <v>934</v>
      </c>
      <c r="BW271" s="330">
        <v>53</v>
      </c>
      <c r="BX271" s="330">
        <v>40</v>
      </c>
      <c r="BY271" s="330">
        <v>42</v>
      </c>
      <c r="BZ271" s="330">
        <v>24</v>
      </c>
      <c r="CA271" s="330">
        <v>13</v>
      </c>
      <c r="CB271" s="330">
        <v>8</v>
      </c>
      <c r="CC271" s="330">
        <v>10</v>
      </c>
      <c r="CD271" s="330">
        <v>6</v>
      </c>
      <c r="CE271" s="328">
        <v>196</v>
      </c>
      <c r="CF271" s="322" t="s">
        <v>934</v>
      </c>
      <c r="CG271" s="323">
        <v>236</v>
      </c>
      <c r="CH271" s="323">
        <v>126</v>
      </c>
      <c r="CI271" s="323">
        <v>95</v>
      </c>
      <c r="CJ271" s="323">
        <v>49</v>
      </c>
      <c r="CK271" s="323">
        <v>35</v>
      </c>
      <c r="CL271" s="323">
        <v>32</v>
      </c>
      <c r="CM271" s="323">
        <v>31</v>
      </c>
      <c r="CN271" s="323">
        <v>2</v>
      </c>
      <c r="CO271" s="323">
        <v>606</v>
      </c>
      <c r="CP271" s="329" t="s">
        <v>934</v>
      </c>
      <c r="CQ271" s="330">
        <v>0</v>
      </c>
      <c r="CR271" s="330">
        <v>0</v>
      </c>
      <c r="CS271" s="330">
        <v>0</v>
      </c>
      <c r="CT271" s="330">
        <v>0</v>
      </c>
      <c r="CU271" s="330">
        <v>0</v>
      </c>
      <c r="CV271" s="330">
        <v>0</v>
      </c>
      <c r="CW271" s="330">
        <v>0</v>
      </c>
      <c r="CX271" s="330">
        <v>0</v>
      </c>
      <c r="CY271" s="328">
        <v>0</v>
      </c>
      <c r="CZ271" s="322" t="s">
        <v>934</v>
      </c>
      <c r="DA271" s="323">
        <v>0</v>
      </c>
      <c r="DB271" s="323">
        <v>0</v>
      </c>
      <c r="DC271" s="323">
        <v>0</v>
      </c>
      <c r="DD271" s="323">
        <v>0</v>
      </c>
      <c r="DE271" s="323">
        <v>0</v>
      </c>
      <c r="DF271" s="323">
        <v>0</v>
      </c>
      <c r="DG271" s="323">
        <v>0</v>
      </c>
      <c r="DH271" s="323">
        <v>0</v>
      </c>
      <c r="DI271" s="323">
        <v>0</v>
      </c>
      <c r="DJ271" s="337">
        <v>0</v>
      </c>
      <c r="DK271" s="644">
        <v>44277.7</v>
      </c>
      <c r="DL271" s="614">
        <v>17318</v>
      </c>
      <c r="DM271" s="614">
        <v>12854</v>
      </c>
      <c r="DN271" s="614">
        <v>10096</v>
      </c>
      <c r="DO271" s="614">
        <v>8289</v>
      </c>
      <c r="DP271" s="614">
        <v>4962</v>
      </c>
      <c r="DQ271" s="614">
        <v>2491</v>
      </c>
      <c r="DR271" s="614">
        <v>984</v>
      </c>
      <c r="DS271" s="615">
        <v>92</v>
      </c>
      <c r="DT271" s="607">
        <f t="shared" si="4"/>
        <v>57086</v>
      </c>
      <c r="DU271" s="342"/>
      <c r="EC271" s="646"/>
      <c r="EF271" s="127"/>
      <c r="EG271" s="124"/>
    </row>
    <row r="272" spans="1:137" ht="15">
      <c r="A272" s="22">
        <v>264</v>
      </c>
      <c r="B272" s="23" t="s">
        <v>671</v>
      </c>
      <c r="C272" s="24" t="s">
        <v>672</v>
      </c>
      <c r="D272" s="613"/>
      <c r="E272" s="628">
        <v>4363</v>
      </c>
      <c r="F272" s="628">
        <v>10322</v>
      </c>
      <c r="G272" s="628">
        <v>11792</v>
      </c>
      <c r="H272" s="628">
        <v>9741</v>
      </c>
      <c r="I272" s="628">
        <v>7032</v>
      </c>
      <c r="J272" s="628">
        <v>4616</v>
      </c>
      <c r="K272" s="628">
        <v>2958</v>
      </c>
      <c r="L272" s="628">
        <v>278</v>
      </c>
      <c r="M272" s="627">
        <v>51102</v>
      </c>
      <c r="N272" s="322"/>
      <c r="O272" s="323">
        <v>197</v>
      </c>
      <c r="P272" s="323">
        <v>251</v>
      </c>
      <c r="Q272" s="323">
        <v>244</v>
      </c>
      <c r="R272" s="323">
        <v>211</v>
      </c>
      <c r="S272" s="323">
        <v>138</v>
      </c>
      <c r="T272" s="323">
        <v>83</v>
      </c>
      <c r="U272" s="323">
        <v>61</v>
      </c>
      <c r="V272" s="323">
        <v>10</v>
      </c>
      <c r="W272" s="323">
        <v>1195</v>
      </c>
      <c r="X272" s="329" t="s">
        <v>934</v>
      </c>
      <c r="Y272" s="330">
        <v>0</v>
      </c>
      <c r="Z272" s="330">
        <v>0</v>
      </c>
      <c r="AA272" s="330">
        <v>0</v>
      </c>
      <c r="AB272" s="330">
        <v>0</v>
      </c>
      <c r="AC272" s="330">
        <v>0</v>
      </c>
      <c r="AD272" s="330">
        <v>0</v>
      </c>
      <c r="AE272" s="330">
        <v>0</v>
      </c>
      <c r="AF272" s="330">
        <v>0</v>
      </c>
      <c r="AG272" s="328">
        <v>0</v>
      </c>
      <c r="AH272" s="329" t="s">
        <v>934</v>
      </c>
      <c r="AI272" s="184">
        <v>8</v>
      </c>
      <c r="AJ272" s="184">
        <v>38</v>
      </c>
      <c r="AK272" s="184">
        <v>63</v>
      </c>
      <c r="AL272" s="184">
        <v>72</v>
      </c>
      <c r="AM272" s="184">
        <v>50</v>
      </c>
      <c r="AN272" s="184">
        <v>43</v>
      </c>
      <c r="AO272" s="184">
        <v>34</v>
      </c>
      <c r="AP272" s="184">
        <v>14</v>
      </c>
      <c r="AQ272" s="336">
        <v>322</v>
      </c>
      <c r="AR272" s="323">
        <v>4</v>
      </c>
      <c r="AS272" s="323">
        <v>2315</v>
      </c>
      <c r="AT272" s="323">
        <v>4222</v>
      </c>
      <c r="AU272" s="323">
        <v>3682</v>
      </c>
      <c r="AV272" s="323">
        <v>2436</v>
      </c>
      <c r="AW272" s="323">
        <v>1405</v>
      </c>
      <c r="AX272" s="323">
        <v>750</v>
      </c>
      <c r="AY272" s="323">
        <v>424</v>
      </c>
      <c r="AZ272" s="323">
        <v>27</v>
      </c>
      <c r="BA272" s="323">
        <v>15265</v>
      </c>
      <c r="BB272" s="331">
        <v>0</v>
      </c>
      <c r="BC272" s="330">
        <v>20</v>
      </c>
      <c r="BD272" s="330">
        <v>82</v>
      </c>
      <c r="BE272" s="330">
        <v>93</v>
      </c>
      <c r="BF272" s="330">
        <v>66</v>
      </c>
      <c r="BG272" s="330">
        <v>41</v>
      </c>
      <c r="BH272" s="330">
        <v>20</v>
      </c>
      <c r="BI272" s="330">
        <v>18</v>
      </c>
      <c r="BJ272" s="330">
        <v>2</v>
      </c>
      <c r="BK272" s="328">
        <v>342</v>
      </c>
      <c r="BL272" s="323">
        <v>0</v>
      </c>
      <c r="BM272" s="323">
        <v>7</v>
      </c>
      <c r="BN272" s="323">
        <v>14</v>
      </c>
      <c r="BO272" s="323">
        <v>12</v>
      </c>
      <c r="BP272" s="323">
        <v>11</v>
      </c>
      <c r="BQ272" s="323">
        <v>3</v>
      </c>
      <c r="BR272" s="323">
        <v>11</v>
      </c>
      <c r="BS272" s="323">
        <v>21</v>
      </c>
      <c r="BT272" s="323">
        <v>16</v>
      </c>
      <c r="BU272" s="323">
        <v>95</v>
      </c>
      <c r="BV272" s="329" t="s">
        <v>934</v>
      </c>
      <c r="BW272" s="330">
        <v>258</v>
      </c>
      <c r="BX272" s="330">
        <v>511</v>
      </c>
      <c r="BY272" s="330">
        <v>914</v>
      </c>
      <c r="BZ272" s="330">
        <v>778</v>
      </c>
      <c r="CA272" s="330">
        <v>542</v>
      </c>
      <c r="CB272" s="330">
        <v>393</v>
      </c>
      <c r="CC272" s="330">
        <v>322</v>
      </c>
      <c r="CD272" s="330">
        <v>45</v>
      </c>
      <c r="CE272" s="328">
        <v>3763</v>
      </c>
      <c r="CF272" s="322" t="s">
        <v>934</v>
      </c>
      <c r="CG272" s="323">
        <v>165</v>
      </c>
      <c r="CH272" s="323">
        <v>185</v>
      </c>
      <c r="CI272" s="323">
        <v>192</v>
      </c>
      <c r="CJ272" s="323">
        <v>173</v>
      </c>
      <c r="CK272" s="323">
        <v>133</v>
      </c>
      <c r="CL272" s="323">
        <v>56</v>
      </c>
      <c r="CM272" s="323">
        <v>45</v>
      </c>
      <c r="CN272" s="323">
        <v>10</v>
      </c>
      <c r="CO272" s="323">
        <v>959</v>
      </c>
      <c r="CP272" s="329" t="s">
        <v>934</v>
      </c>
      <c r="CQ272" s="330">
        <v>0</v>
      </c>
      <c r="CR272" s="330">
        <v>0</v>
      </c>
      <c r="CS272" s="330">
        <v>0</v>
      </c>
      <c r="CT272" s="330">
        <v>0</v>
      </c>
      <c r="CU272" s="330">
        <v>0</v>
      </c>
      <c r="CV272" s="330">
        <v>0</v>
      </c>
      <c r="CW272" s="330">
        <v>0</v>
      </c>
      <c r="CX272" s="330">
        <v>0</v>
      </c>
      <c r="CY272" s="328">
        <v>0</v>
      </c>
      <c r="CZ272" s="322" t="s">
        <v>934</v>
      </c>
      <c r="DA272" s="323">
        <v>0</v>
      </c>
      <c r="DB272" s="323">
        <v>0</v>
      </c>
      <c r="DC272" s="323">
        <v>0</v>
      </c>
      <c r="DD272" s="323">
        <v>0</v>
      </c>
      <c r="DE272" s="323">
        <v>0</v>
      </c>
      <c r="DF272" s="323">
        <v>0</v>
      </c>
      <c r="DG272" s="323">
        <v>0</v>
      </c>
      <c r="DH272" s="323">
        <v>0</v>
      </c>
      <c r="DI272" s="323">
        <v>0</v>
      </c>
      <c r="DJ272" s="337">
        <v>0</v>
      </c>
      <c r="DK272" s="644">
        <v>44542.4</v>
      </c>
      <c r="DL272" s="614">
        <v>4410</v>
      </c>
      <c r="DM272" s="614">
        <v>10373</v>
      </c>
      <c r="DN272" s="614">
        <v>11846</v>
      </c>
      <c r="DO272" s="614">
        <v>9798</v>
      </c>
      <c r="DP272" s="614">
        <v>7082</v>
      </c>
      <c r="DQ272" s="614">
        <v>4627</v>
      </c>
      <c r="DR272" s="614">
        <v>2927</v>
      </c>
      <c r="DS272" s="615">
        <v>280</v>
      </c>
      <c r="DT272" s="607">
        <f t="shared" si="4"/>
        <v>51343</v>
      </c>
      <c r="DU272" s="342"/>
      <c r="EC272" s="646"/>
      <c r="EF272" s="123"/>
      <c r="EG272" s="124"/>
    </row>
    <row r="273" spans="1:137" ht="15">
      <c r="A273" s="22">
        <v>265</v>
      </c>
      <c r="B273" s="23" t="s">
        <v>673</v>
      </c>
      <c r="C273" s="24" t="s">
        <v>674</v>
      </c>
      <c r="D273" s="613"/>
      <c r="E273" s="628">
        <v>5466</v>
      </c>
      <c r="F273" s="628">
        <v>14615</v>
      </c>
      <c r="G273" s="628">
        <v>12558</v>
      </c>
      <c r="H273" s="628">
        <v>8840</v>
      </c>
      <c r="I273" s="628">
        <v>5465</v>
      </c>
      <c r="J273" s="628">
        <v>2370</v>
      </c>
      <c r="K273" s="628">
        <v>1313</v>
      </c>
      <c r="L273" s="628">
        <v>109</v>
      </c>
      <c r="M273" s="627">
        <v>50736</v>
      </c>
      <c r="N273" s="322"/>
      <c r="O273" s="323">
        <v>302</v>
      </c>
      <c r="P273" s="323">
        <v>286</v>
      </c>
      <c r="Q273" s="323">
        <v>195</v>
      </c>
      <c r="R273" s="323">
        <v>119</v>
      </c>
      <c r="S273" s="323">
        <v>73</v>
      </c>
      <c r="T273" s="323">
        <v>25</v>
      </c>
      <c r="U273" s="323">
        <v>14</v>
      </c>
      <c r="V273" s="323">
        <v>7</v>
      </c>
      <c r="W273" s="323">
        <v>1021</v>
      </c>
      <c r="X273" s="329" t="s">
        <v>934</v>
      </c>
      <c r="Y273" s="330">
        <v>0</v>
      </c>
      <c r="Z273" s="330">
        <v>0</v>
      </c>
      <c r="AA273" s="330">
        <v>0</v>
      </c>
      <c r="AB273" s="330">
        <v>0</v>
      </c>
      <c r="AC273" s="330">
        <v>0</v>
      </c>
      <c r="AD273" s="330">
        <v>0</v>
      </c>
      <c r="AE273" s="330">
        <v>0</v>
      </c>
      <c r="AF273" s="330">
        <v>0</v>
      </c>
      <c r="AG273" s="328">
        <v>0</v>
      </c>
      <c r="AH273" s="329" t="s">
        <v>934</v>
      </c>
      <c r="AI273" s="184">
        <v>17</v>
      </c>
      <c r="AJ273" s="184">
        <v>62</v>
      </c>
      <c r="AK273" s="184">
        <v>97</v>
      </c>
      <c r="AL273" s="184">
        <v>93</v>
      </c>
      <c r="AM273" s="184">
        <v>55</v>
      </c>
      <c r="AN273" s="184">
        <v>27</v>
      </c>
      <c r="AO273" s="184">
        <v>22</v>
      </c>
      <c r="AP273" s="184">
        <v>7</v>
      </c>
      <c r="AQ273" s="336">
        <v>380</v>
      </c>
      <c r="AR273" s="323">
        <v>10</v>
      </c>
      <c r="AS273" s="323">
        <v>3201</v>
      </c>
      <c r="AT273" s="323">
        <v>5038</v>
      </c>
      <c r="AU273" s="323">
        <v>3383</v>
      </c>
      <c r="AV273" s="323">
        <v>1784</v>
      </c>
      <c r="AW273" s="323">
        <v>843</v>
      </c>
      <c r="AX273" s="323">
        <v>312</v>
      </c>
      <c r="AY273" s="323">
        <v>150</v>
      </c>
      <c r="AZ273" s="323">
        <v>12</v>
      </c>
      <c r="BA273" s="323">
        <v>14733</v>
      </c>
      <c r="BB273" s="331">
        <v>1</v>
      </c>
      <c r="BC273" s="330">
        <v>17</v>
      </c>
      <c r="BD273" s="330">
        <v>113</v>
      </c>
      <c r="BE273" s="330">
        <v>91</v>
      </c>
      <c r="BF273" s="330">
        <v>68</v>
      </c>
      <c r="BG273" s="330">
        <v>25</v>
      </c>
      <c r="BH273" s="330">
        <v>12</v>
      </c>
      <c r="BI273" s="330">
        <v>4</v>
      </c>
      <c r="BJ273" s="330">
        <v>0</v>
      </c>
      <c r="BK273" s="328">
        <v>331</v>
      </c>
      <c r="BL273" s="323">
        <v>0</v>
      </c>
      <c r="BM273" s="323">
        <v>1</v>
      </c>
      <c r="BN273" s="323">
        <v>11</v>
      </c>
      <c r="BO273" s="323">
        <v>5</v>
      </c>
      <c r="BP273" s="323">
        <v>8</v>
      </c>
      <c r="BQ273" s="323">
        <v>16</v>
      </c>
      <c r="BR273" s="323">
        <v>17</v>
      </c>
      <c r="BS273" s="323">
        <v>10</v>
      </c>
      <c r="BT273" s="323">
        <v>1</v>
      </c>
      <c r="BU273" s="323">
        <v>69</v>
      </c>
      <c r="BV273" s="329" t="s">
        <v>934</v>
      </c>
      <c r="BW273" s="330">
        <v>60</v>
      </c>
      <c r="BX273" s="330">
        <v>86</v>
      </c>
      <c r="BY273" s="330">
        <v>96</v>
      </c>
      <c r="BZ273" s="330">
        <v>62</v>
      </c>
      <c r="CA273" s="330">
        <v>36</v>
      </c>
      <c r="CB273" s="330">
        <v>32</v>
      </c>
      <c r="CC273" s="330">
        <v>23</v>
      </c>
      <c r="CD273" s="330">
        <v>4</v>
      </c>
      <c r="CE273" s="328">
        <v>399</v>
      </c>
      <c r="CF273" s="322" t="s">
        <v>934</v>
      </c>
      <c r="CG273" s="323">
        <v>0</v>
      </c>
      <c r="CH273" s="323">
        <v>0</v>
      </c>
      <c r="CI273" s="323">
        <v>0</v>
      </c>
      <c r="CJ273" s="323">
        <v>0</v>
      </c>
      <c r="CK273" s="323">
        <v>0</v>
      </c>
      <c r="CL273" s="323">
        <v>0</v>
      </c>
      <c r="CM273" s="323">
        <v>0</v>
      </c>
      <c r="CN273" s="323">
        <v>0</v>
      </c>
      <c r="CO273" s="323">
        <v>0</v>
      </c>
      <c r="CP273" s="329" t="s">
        <v>934</v>
      </c>
      <c r="CQ273" s="330">
        <v>0</v>
      </c>
      <c r="CR273" s="330">
        <v>0</v>
      </c>
      <c r="CS273" s="330">
        <v>0</v>
      </c>
      <c r="CT273" s="330">
        <v>0</v>
      </c>
      <c r="CU273" s="330">
        <v>0</v>
      </c>
      <c r="CV273" s="330">
        <v>0</v>
      </c>
      <c r="CW273" s="330">
        <v>0</v>
      </c>
      <c r="CX273" s="330">
        <v>0</v>
      </c>
      <c r="CY273" s="328">
        <v>0</v>
      </c>
      <c r="CZ273" s="322" t="s">
        <v>934</v>
      </c>
      <c r="DA273" s="323">
        <v>110</v>
      </c>
      <c r="DB273" s="323">
        <v>126</v>
      </c>
      <c r="DC273" s="323">
        <v>68</v>
      </c>
      <c r="DD273" s="323">
        <v>56</v>
      </c>
      <c r="DE273" s="323">
        <v>33</v>
      </c>
      <c r="DF273" s="323">
        <v>16</v>
      </c>
      <c r="DG273" s="323">
        <v>11</v>
      </c>
      <c r="DH273" s="323">
        <v>1</v>
      </c>
      <c r="DI273" s="323">
        <v>421</v>
      </c>
      <c r="DJ273" s="337">
        <v>0</v>
      </c>
      <c r="DK273" s="644">
        <v>43087.3</v>
      </c>
      <c r="DL273" s="614">
        <v>5630</v>
      </c>
      <c r="DM273" s="614">
        <v>14748</v>
      </c>
      <c r="DN273" s="614">
        <v>12753</v>
      </c>
      <c r="DO273" s="614">
        <v>9018</v>
      </c>
      <c r="DP273" s="614">
        <v>5555</v>
      </c>
      <c r="DQ273" s="614">
        <v>2386</v>
      </c>
      <c r="DR273" s="614">
        <v>1329</v>
      </c>
      <c r="DS273" s="615">
        <v>111</v>
      </c>
      <c r="DT273" s="607">
        <f t="shared" si="4"/>
        <v>51530</v>
      </c>
      <c r="DU273" s="342"/>
      <c r="EC273" s="646"/>
      <c r="EF273" s="126"/>
      <c r="EG273" s="124"/>
    </row>
    <row r="274" spans="1:137" ht="15">
      <c r="A274" s="22">
        <v>266</v>
      </c>
      <c r="B274" s="23" t="s">
        <v>675</v>
      </c>
      <c r="C274" s="24" t="s">
        <v>676</v>
      </c>
      <c r="D274" s="613"/>
      <c r="E274" s="630">
        <v>1841</v>
      </c>
      <c r="F274" s="630">
        <v>7948</v>
      </c>
      <c r="G274" s="630">
        <v>8738</v>
      </c>
      <c r="H274" s="630">
        <v>5534</v>
      </c>
      <c r="I274" s="630">
        <v>5239</v>
      </c>
      <c r="J274" s="630">
        <v>3456</v>
      </c>
      <c r="K274" s="630">
        <v>2053</v>
      </c>
      <c r="L274" s="630">
        <v>173</v>
      </c>
      <c r="M274" s="627">
        <v>34982</v>
      </c>
      <c r="N274" s="322"/>
      <c r="O274" s="323">
        <v>129</v>
      </c>
      <c r="P274" s="323">
        <v>218</v>
      </c>
      <c r="Q274" s="323">
        <v>193</v>
      </c>
      <c r="R274" s="323">
        <v>162</v>
      </c>
      <c r="S274" s="323">
        <v>72</v>
      </c>
      <c r="T274" s="323">
        <v>38</v>
      </c>
      <c r="U274" s="323">
        <v>22</v>
      </c>
      <c r="V274" s="323">
        <v>5</v>
      </c>
      <c r="W274" s="323">
        <v>839</v>
      </c>
      <c r="X274" s="329" t="s">
        <v>934</v>
      </c>
      <c r="Y274" s="330">
        <v>0</v>
      </c>
      <c r="Z274" s="330">
        <v>0</v>
      </c>
      <c r="AA274" s="330">
        <v>0</v>
      </c>
      <c r="AB274" s="330">
        <v>0</v>
      </c>
      <c r="AC274" s="330">
        <v>0</v>
      </c>
      <c r="AD274" s="330">
        <v>0</v>
      </c>
      <c r="AE274" s="330">
        <v>0</v>
      </c>
      <c r="AF274" s="330">
        <v>0</v>
      </c>
      <c r="AG274" s="328">
        <v>0</v>
      </c>
      <c r="AH274" s="329" t="s">
        <v>934</v>
      </c>
      <c r="AI274" s="184">
        <v>6</v>
      </c>
      <c r="AJ274" s="184">
        <v>37</v>
      </c>
      <c r="AK274" s="184">
        <v>38</v>
      </c>
      <c r="AL274" s="184">
        <v>28</v>
      </c>
      <c r="AM274" s="184">
        <v>20</v>
      </c>
      <c r="AN274" s="184">
        <v>22</v>
      </c>
      <c r="AO274" s="184">
        <v>16</v>
      </c>
      <c r="AP274" s="184">
        <v>5</v>
      </c>
      <c r="AQ274" s="336">
        <v>172</v>
      </c>
      <c r="AR274" s="323">
        <v>3</v>
      </c>
      <c r="AS274" s="323">
        <v>992</v>
      </c>
      <c r="AT274" s="323">
        <v>3049</v>
      </c>
      <c r="AU274" s="323">
        <v>2378</v>
      </c>
      <c r="AV274" s="323">
        <v>1130</v>
      </c>
      <c r="AW274" s="323">
        <v>866</v>
      </c>
      <c r="AX274" s="323">
        <v>434</v>
      </c>
      <c r="AY274" s="323">
        <v>237</v>
      </c>
      <c r="AZ274" s="323">
        <v>14</v>
      </c>
      <c r="BA274" s="323">
        <v>9103</v>
      </c>
      <c r="BB274" s="331">
        <v>0</v>
      </c>
      <c r="BC274" s="330">
        <v>8</v>
      </c>
      <c r="BD274" s="330">
        <v>41</v>
      </c>
      <c r="BE274" s="330">
        <v>41</v>
      </c>
      <c r="BF274" s="330">
        <v>23</v>
      </c>
      <c r="BG274" s="330">
        <v>20</v>
      </c>
      <c r="BH274" s="330">
        <v>10</v>
      </c>
      <c r="BI274" s="330">
        <v>2</v>
      </c>
      <c r="BJ274" s="330">
        <v>0</v>
      </c>
      <c r="BK274" s="328">
        <v>145</v>
      </c>
      <c r="BL274" s="323">
        <v>0</v>
      </c>
      <c r="BM274" s="323">
        <v>0</v>
      </c>
      <c r="BN274" s="323">
        <v>1</v>
      </c>
      <c r="BO274" s="323">
        <v>2</v>
      </c>
      <c r="BP274" s="323">
        <v>1</v>
      </c>
      <c r="BQ274" s="323">
        <v>0</v>
      </c>
      <c r="BR274" s="323">
        <v>6</v>
      </c>
      <c r="BS274" s="323">
        <v>5</v>
      </c>
      <c r="BT274" s="323">
        <v>3</v>
      </c>
      <c r="BU274" s="323">
        <v>18</v>
      </c>
      <c r="BV274" s="329" t="s">
        <v>934</v>
      </c>
      <c r="BW274" s="330">
        <v>25</v>
      </c>
      <c r="BX274" s="330">
        <v>38</v>
      </c>
      <c r="BY274" s="330">
        <v>54</v>
      </c>
      <c r="BZ274" s="330">
        <v>27</v>
      </c>
      <c r="CA274" s="330">
        <v>28</v>
      </c>
      <c r="CB274" s="330">
        <v>21</v>
      </c>
      <c r="CC274" s="330">
        <v>35</v>
      </c>
      <c r="CD274" s="330">
        <v>7</v>
      </c>
      <c r="CE274" s="328">
        <v>235</v>
      </c>
      <c r="CF274" s="322" t="s">
        <v>934</v>
      </c>
      <c r="CG274" s="323">
        <v>0</v>
      </c>
      <c r="CH274" s="323">
        <v>0</v>
      </c>
      <c r="CI274" s="323">
        <v>0</v>
      </c>
      <c r="CJ274" s="323">
        <v>0</v>
      </c>
      <c r="CK274" s="323">
        <v>0</v>
      </c>
      <c r="CL274" s="323">
        <v>0</v>
      </c>
      <c r="CM274" s="323">
        <v>0</v>
      </c>
      <c r="CN274" s="323">
        <v>0</v>
      </c>
      <c r="CO274" s="323">
        <v>0</v>
      </c>
      <c r="CP274" s="329" t="s">
        <v>934</v>
      </c>
      <c r="CQ274" s="330">
        <v>52</v>
      </c>
      <c r="CR274" s="330">
        <v>78</v>
      </c>
      <c r="CS274" s="330">
        <v>62</v>
      </c>
      <c r="CT274" s="330">
        <v>51</v>
      </c>
      <c r="CU274" s="330">
        <v>27</v>
      </c>
      <c r="CV274" s="330">
        <v>10</v>
      </c>
      <c r="CW274" s="330">
        <v>12</v>
      </c>
      <c r="CX274" s="330">
        <v>3</v>
      </c>
      <c r="CY274" s="328">
        <v>295</v>
      </c>
      <c r="CZ274" s="322" t="s">
        <v>934</v>
      </c>
      <c r="DA274" s="323">
        <v>0</v>
      </c>
      <c r="DB274" s="323">
        <v>0</v>
      </c>
      <c r="DC274" s="323">
        <v>0</v>
      </c>
      <c r="DD274" s="323">
        <v>0</v>
      </c>
      <c r="DE274" s="323">
        <v>0</v>
      </c>
      <c r="DF274" s="323">
        <v>0</v>
      </c>
      <c r="DG274" s="323">
        <v>0</v>
      </c>
      <c r="DH274" s="323">
        <v>0</v>
      </c>
      <c r="DI274" s="323">
        <v>0</v>
      </c>
      <c r="DJ274" s="337">
        <v>0</v>
      </c>
      <c r="DK274" s="644">
        <v>32795</v>
      </c>
      <c r="DL274" s="614">
        <v>1883</v>
      </c>
      <c r="DM274" s="614">
        <v>8053</v>
      </c>
      <c r="DN274" s="614">
        <v>8821</v>
      </c>
      <c r="DO274" s="614">
        <v>5586</v>
      </c>
      <c r="DP274" s="614">
        <v>5256</v>
      </c>
      <c r="DQ274" s="614">
        <v>3482</v>
      </c>
      <c r="DR274" s="614">
        <v>2063</v>
      </c>
      <c r="DS274" s="615">
        <v>173</v>
      </c>
      <c r="DT274" s="607">
        <f t="shared" si="4"/>
        <v>35317</v>
      </c>
      <c r="DU274" s="342"/>
      <c r="EC274" s="646"/>
      <c r="EF274" s="127"/>
      <c r="EG274" s="124"/>
    </row>
    <row r="275" spans="1:137" ht="15">
      <c r="A275" s="22">
        <v>267</v>
      </c>
      <c r="B275" s="23" t="s">
        <v>677</v>
      </c>
      <c r="C275" s="24" t="s">
        <v>678</v>
      </c>
      <c r="D275" s="613"/>
      <c r="E275" s="628">
        <v>2222</v>
      </c>
      <c r="F275" s="628">
        <v>4718</v>
      </c>
      <c r="G275" s="628">
        <v>14493</v>
      </c>
      <c r="H275" s="628">
        <v>12821</v>
      </c>
      <c r="I275" s="628">
        <v>9192</v>
      </c>
      <c r="J275" s="628">
        <v>5726</v>
      </c>
      <c r="K275" s="628">
        <v>5391</v>
      </c>
      <c r="L275" s="628">
        <v>711</v>
      </c>
      <c r="M275" s="627">
        <v>55274</v>
      </c>
      <c r="N275" s="322"/>
      <c r="O275" s="323">
        <v>146</v>
      </c>
      <c r="P275" s="323">
        <v>130</v>
      </c>
      <c r="Q275" s="323">
        <v>793</v>
      </c>
      <c r="R275" s="323">
        <v>279</v>
      </c>
      <c r="S275" s="323">
        <v>136</v>
      </c>
      <c r="T275" s="323">
        <v>84</v>
      </c>
      <c r="U275" s="323">
        <v>77</v>
      </c>
      <c r="V275" s="323">
        <v>9</v>
      </c>
      <c r="W275" s="323">
        <v>1654</v>
      </c>
      <c r="X275" s="329" t="s">
        <v>934</v>
      </c>
      <c r="Y275" s="330">
        <v>0</v>
      </c>
      <c r="Z275" s="330">
        <v>0</v>
      </c>
      <c r="AA275" s="330">
        <v>0</v>
      </c>
      <c r="AB275" s="330">
        <v>0</v>
      </c>
      <c r="AC275" s="330">
        <v>0</v>
      </c>
      <c r="AD275" s="330">
        <v>0</v>
      </c>
      <c r="AE275" s="330">
        <v>0</v>
      </c>
      <c r="AF275" s="330">
        <v>0</v>
      </c>
      <c r="AG275" s="328">
        <v>0</v>
      </c>
      <c r="AH275" s="329" t="s">
        <v>934</v>
      </c>
      <c r="AI275" s="184">
        <v>8</v>
      </c>
      <c r="AJ275" s="184">
        <v>23</v>
      </c>
      <c r="AK275" s="184">
        <v>69</v>
      </c>
      <c r="AL275" s="184">
        <v>71</v>
      </c>
      <c r="AM275" s="184">
        <v>67</v>
      </c>
      <c r="AN275" s="184">
        <v>42</v>
      </c>
      <c r="AO275" s="184">
        <v>22</v>
      </c>
      <c r="AP275" s="184">
        <v>6</v>
      </c>
      <c r="AQ275" s="336">
        <v>308</v>
      </c>
      <c r="AR275" s="323">
        <v>3</v>
      </c>
      <c r="AS275" s="323">
        <v>1047</v>
      </c>
      <c r="AT275" s="323">
        <v>2450</v>
      </c>
      <c r="AU275" s="323">
        <v>4483</v>
      </c>
      <c r="AV275" s="323">
        <v>3492</v>
      </c>
      <c r="AW275" s="323">
        <v>1960</v>
      </c>
      <c r="AX275" s="323">
        <v>1035</v>
      </c>
      <c r="AY275" s="323">
        <v>653</v>
      </c>
      <c r="AZ275" s="323">
        <v>60</v>
      </c>
      <c r="BA275" s="323">
        <v>15183</v>
      </c>
      <c r="BB275" s="331">
        <v>0</v>
      </c>
      <c r="BC275" s="330">
        <v>9</v>
      </c>
      <c r="BD275" s="330">
        <v>15</v>
      </c>
      <c r="BE275" s="330">
        <v>81</v>
      </c>
      <c r="BF275" s="330">
        <v>63</v>
      </c>
      <c r="BG275" s="330">
        <v>59</v>
      </c>
      <c r="BH275" s="330">
        <v>27</v>
      </c>
      <c r="BI275" s="330">
        <v>25</v>
      </c>
      <c r="BJ275" s="330">
        <v>0</v>
      </c>
      <c r="BK275" s="328">
        <v>279</v>
      </c>
      <c r="BL275" s="323">
        <v>0</v>
      </c>
      <c r="BM275" s="323">
        <v>2</v>
      </c>
      <c r="BN275" s="323">
        <v>3</v>
      </c>
      <c r="BO275" s="323">
        <v>8</v>
      </c>
      <c r="BP275" s="323">
        <v>9</v>
      </c>
      <c r="BQ275" s="323">
        <v>8</v>
      </c>
      <c r="BR275" s="323">
        <v>11</v>
      </c>
      <c r="BS275" s="323">
        <v>8</v>
      </c>
      <c r="BT275" s="323">
        <v>5</v>
      </c>
      <c r="BU275" s="323">
        <v>54</v>
      </c>
      <c r="BV275" s="329" t="s">
        <v>934</v>
      </c>
      <c r="BW275" s="330">
        <v>27</v>
      </c>
      <c r="BX275" s="330">
        <v>30</v>
      </c>
      <c r="BY275" s="330">
        <v>59</v>
      </c>
      <c r="BZ275" s="330">
        <v>78</v>
      </c>
      <c r="CA275" s="330">
        <v>68</v>
      </c>
      <c r="CB275" s="330">
        <v>48</v>
      </c>
      <c r="CC275" s="330">
        <v>69</v>
      </c>
      <c r="CD275" s="330">
        <v>25</v>
      </c>
      <c r="CE275" s="328">
        <v>404</v>
      </c>
      <c r="CF275" s="322" t="s">
        <v>934</v>
      </c>
      <c r="CG275" s="323">
        <v>0</v>
      </c>
      <c r="CH275" s="323">
        <v>0</v>
      </c>
      <c r="CI275" s="323">
        <v>0</v>
      </c>
      <c r="CJ275" s="323">
        <v>0</v>
      </c>
      <c r="CK275" s="323">
        <v>0</v>
      </c>
      <c r="CL275" s="323">
        <v>0</v>
      </c>
      <c r="CM275" s="323">
        <v>0</v>
      </c>
      <c r="CN275" s="323">
        <v>0</v>
      </c>
      <c r="CO275" s="323">
        <v>0</v>
      </c>
      <c r="CP275" s="329" t="s">
        <v>934</v>
      </c>
      <c r="CQ275" s="330">
        <v>48</v>
      </c>
      <c r="CR275" s="330">
        <v>60</v>
      </c>
      <c r="CS275" s="330">
        <v>73</v>
      </c>
      <c r="CT275" s="330">
        <v>57</v>
      </c>
      <c r="CU275" s="330">
        <v>67</v>
      </c>
      <c r="CV275" s="330">
        <v>31</v>
      </c>
      <c r="CW275" s="330">
        <v>48</v>
      </c>
      <c r="CX275" s="330">
        <v>14</v>
      </c>
      <c r="CY275" s="328">
        <v>398</v>
      </c>
      <c r="CZ275" s="322" t="s">
        <v>934</v>
      </c>
      <c r="DA275" s="323">
        <v>0</v>
      </c>
      <c r="DB275" s="323">
        <v>0</v>
      </c>
      <c r="DC275" s="323">
        <v>0</v>
      </c>
      <c r="DD275" s="323">
        <v>0</v>
      </c>
      <c r="DE275" s="323">
        <v>0</v>
      </c>
      <c r="DF275" s="323">
        <v>0</v>
      </c>
      <c r="DG275" s="323">
        <v>0</v>
      </c>
      <c r="DH275" s="323">
        <v>0</v>
      </c>
      <c r="DI275" s="323">
        <v>0</v>
      </c>
      <c r="DJ275" s="337">
        <v>630.6</v>
      </c>
      <c r="DK275" s="644">
        <v>55580.8</v>
      </c>
      <c r="DL275" s="614">
        <v>2213</v>
      </c>
      <c r="DM275" s="614">
        <v>4767</v>
      </c>
      <c r="DN275" s="614">
        <v>14588</v>
      </c>
      <c r="DO275" s="614">
        <v>12867</v>
      </c>
      <c r="DP275" s="614">
        <v>9164</v>
      </c>
      <c r="DQ275" s="614">
        <v>5763</v>
      </c>
      <c r="DR275" s="614">
        <v>5394</v>
      </c>
      <c r="DS275" s="615">
        <v>728</v>
      </c>
      <c r="DT275" s="607">
        <f t="shared" si="4"/>
        <v>55484</v>
      </c>
      <c r="DU275" s="342"/>
      <c r="EC275" s="646"/>
      <c r="EF275" s="126"/>
      <c r="EG275" s="124"/>
    </row>
    <row r="276" spans="1:137" ht="15">
      <c r="A276" s="22">
        <v>268</v>
      </c>
      <c r="B276" s="23" t="s">
        <v>679</v>
      </c>
      <c r="C276" s="24" t="s">
        <v>680</v>
      </c>
      <c r="D276" s="613"/>
      <c r="E276" s="628">
        <v>9641</v>
      </c>
      <c r="F276" s="628">
        <v>12007</v>
      </c>
      <c r="G276" s="628">
        <v>11687</v>
      </c>
      <c r="H276" s="628">
        <v>7240</v>
      </c>
      <c r="I276" s="628">
        <v>3735</v>
      </c>
      <c r="J276" s="628">
        <v>1440</v>
      </c>
      <c r="K276" s="628">
        <v>479</v>
      </c>
      <c r="L276" s="628">
        <v>17</v>
      </c>
      <c r="M276" s="627">
        <v>46246</v>
      </c>
      <c r="N276" s="322"/>
      <c r="O276" s="323">
        <v>339</v>
      </c>
      <c r="P276" s="323">
        <v>290</v>
      </c>
      <c r="Q276" s="323">
        <v>233</v>
      </c>
      <c r="R276" s="323">
        <v>98</v>
      </c>
      <c r="S276" s="323">
        <v>50</v>
      </c>
      <c r="T276" s="323">
        <v>19</v>
      </c>
      <c r="U276" s="323">
        <v>7</v>
      </c>
      <c r="V276" s="323">
        <v>0</v>
      </c>
      <c r="W276" s="323">
        <v>1036</v>
      </c>
      <c r="X276" s="329" t="s">
        <v>934</v>
      </c>
      <c r="Y276" s="330">
        <v>2</v>
      </c>
      <c r="Z276" s="330">
        <v>0</v>
      </c>
      <c r="AA276" s="330">
        <v>0</v>
      </c>
      <c r="AB276" s="330">
        <v>0</v>
      </c>
      <c r="AC276" s="330">
        <v>0</v>
      </c>
      <c r="AD276" s="330">
        <v>0</v>
      </c>
      <c r="AE276" s="330">
        <v>0</v>
      </c>
      <c r="AF276" s="330">
        <v>0</v>
      </c>
      <c r="AG276" s="328">
        <v>2</v>
      </c>
      <c r="AH276" s="329" t="s">
        <v>934</v>
      </c>
      <c r="AI276" s="184">
        <v>16</v>
      </c>
      <c r="AJ276" s="184">
        <v>80</v>
      </c>
      <c r="AK276" s="184">
        <v>119</v>
      </c>
      <c r="AL276" s="184">
        <v>81</v>
      </c>
      <c r="AM276" s="184">
        <v>40</v>
      </c>
      <c r="AN276" s="184">
        <v>21</v>
      </c>
      <c r="AO276" s="184">
        <v>14</v>
      </c>
      <c r="AP276" s="184">
        <v>4</v>
      </c>
      <c r="AQ276" s="336">
        <v>375</v>
      </c>
      <c r="AR276" s="323">
        <v>4</v>
      </c>
      <c r="AS276" s="323">
        <v>4930</v>
      </c>
      <c r="AT276" s="323">
        <v>4223</v>
      </c>
      <c r="AU276" s="323">
        <v>3110</v>
      </c>
      <c r="AV276" s="323">
        <v>1438</v>
      </c>
      <c r="AW276" s="323">
        <v>465</v>
      </c>
      <c r="AX276" s="323">
        <v>144</v>
      </c>
      <c r="AY276" s="323">
        <v>52</v>
      </c>
      <c r="AZ276" s="323">
        <v>2</v>
      </c>
      <c r="BA276" s="323">
        <v>14368</v>
      </c>
      <c r="BB276" s="331">
        <v>0</v>
      </c>
      <c r="BC276" s="330">
        <v>69</v>
      </c>
      <c r="BD276" s="330">
        <v>87</v>
      </c>
      <c r="BE276" s="330">
        <v>71</v>
      </c>
      <c r="BF276" s="330">
        <v>48</v>
      </c>
      <c r="BG276" s="330">
        <v>19</v>
      </c>
      <c r="BH276" s="330">
        <v>12</v>
      </c>
      <c r="BI276" s="330">
        <v>0</v>
      </c>
      <c r="BJ276" s="330">
        <v>0</v>
      </c>
      <c r="BK276" s="328">
        <v>306</v>
      </c>
      <c r="BL276" s="323">
        <v>0</v>
      </c>
      <c r="BM276" s="323">
        <v>7</v>
      </c>
      <c r="BN276" s="323">
        <v>3</v>
      </c>
      <c r="BO276" s="323">
        <v>4</v>
      </c>
      <c r="BP276" s="323">
        <v>3</v>
      </c>
      <c r="BQ276" s="323">
        <v>8</v>
      </c>
      <c r="BR276" s="323">
        <v>11</v>
      </c>
      <c r="BS276" s="323">
        <v>7</v>
      </c>
      <c r="BT276" s="323">
        <v>0</v>
      </c>
      <c r="BU276" s="323">
        <v>43</v>
      </c>
      <c r="BV276" s="329" t="s">
        <v>934</v>
      </c>
      <c r="BW276" s="330">
        <v>18</v>
      </c>
      <c r="BX276" s="330">
        <v>20</v>
      </c>
      <c r="BY276" s="330">
        <v>18</v>
      </c>
      <c r="BZ276" s="330">
        <v>8</v>
      </c>
      <c r="CA276" s="330">
        <v>7</v>
      </c>
      <c r="CB276" s="330">
        <v>3</v>
      </c>
      <c r="CC276" s="330">
        <v>3</v>
      </c>
      <c r="CD276" s="330">
        <v>0</v>
      </c>
      <c r="CE276" s="328">
        <v>77</v>
      </c>
      <c r="CF276" s="322" t="s">
        <v>934</v>
      </c>
      <c r="CG276" s="323">
        <v>156</v>
      </c>
      <c r="CH276" s="323">
        <v>101</v>
      </c>
      <c r="CI276" s="323">
        <v>76</v>
      </c>
      <c r="CJ276" s="323">
        <v>51</v>
      </c>
      <c r="CK276" s="323">
        <v>22</v>
      </c>
      <c r="CL276" s="323">
        <v>16</v>
      </c>
      <c r="CM276" s="323">
        <v>4</v>
      </c>
      <c r="CN276" s="323">
        <v>0</v>
      </c>
      <c r="CO276" s="323">
        <v>426</v>
      </c>
      <c r="CP276" s="329" t="s">
        <v>934</v>
      </c>
      <c r="CQ276" s="330">
        <v>0</v>
      </c>
      <c r="CR276" s="330">
        <v>0</v>
      </c>
      <c r="CS276" s="330">
        <v>0</v>
      </c>
      <c r="CT276" s="330">
        <v>0</v>
      </c>
      <c r="CU276" s="330">
        <v>0</v>
      </c>
      <c r="CV276" s="330">
        <v>0</v>
      </c>
      <c r="CW276" s="330">
        <v>0</v>
      </c>
      <c r="CX276" s="330">
        <v>0</v>
      </c>
      <c r="CY276" s="328">
        <v>0</v>
      </c>
      <c r="CZ276" s="322" t="s">
        <v>934</v>
      </c>
      <c r="DA276" s="323">
        <v>0</v>
      </c>
      <c r="DB276" s="323">
        <v>0</v>
      </c>
      <c r="DC276" s="323">
        <v>0</v>
      </c>
      <c r="DD276" s="323">
        <v>0</v>
      </c>
      <c r="DE276" s="323">
        <v>0</v>
      </c>
      <c r="DF276" s="323">
        <v>0</v>
      </c>
      <c r="DG276" s="323">
        <v>0</v>
      </c>
      <c r="DH276" s="323">
        <v>0</v>
      </c>
      <c r="DI276" s="323">
        <v>0</v>
      </c>
      <c r="DJ276" s="337">
        <v>0</v>
      </c>
      <c r="DK276" s="644">
        <v>36746.7</v>
      </c>
      <c r="DL276" s="614">
        <v>9702</v>
      </c>
      <c r="DM276" s="614">
        <v>12207</v>
      </c>
      <c r="DN276" s="614">
        <v>11730</v>
      </c>
      <c r="DO276" s="614">
        <v>7281</v>
      </c>
      <c r="DP276" s="614">
        <v>3764</v>
      </c>
      <c r="DQ276" s="614">
        <v>1456</v>
      </c>
      <c r="DR276" s="614">
        <v>482</v>
      </c>
      <c r="DS276" s="615">
        <v>18</v>
      </c>
      <c r="DT276" s="607">
        <f t="shared" si="4"/>
        <v>46640</v>
      </c>
      <c r="DU276" s="342"/>
      <c r="EC276" s="646"/>
      <c r="EF276" s="126"/>
      <c r="EG276" s="124"/>
    </row>
    <row r="277" spans="1:137" ht="15">
      <c r="A277" s="22">
        <v>269</v>
      </c>
      <c r="B277" s="23" t="s">
        <v>681</v>
      </c>
      <c r="C277" s="24" t="s">
        <v>682</v>
      </c>
      <c r="D277" s="613"/>
      <c r="E277" s="628">
        <v>3452</v>
      </c>
      <c r="F277" s="628">
        <v>4025</v>
      </c>
      <c r="G277" s="628">
        <v>3878</v>
      </c>
      <c r="H277" s="628">
        <v>3528</v>
      </c>
      <c r="I277" s="628">
        <v>2884</v>
      </c>
      <c r="J277" s="628">
        <v>1393</v>
      </c>
      <c r="K277" s="628">
        <v>604</v>
      </c>
      <c r="L277" s="628">
        <v>44</v>
      </c>
      <c r="M277" s="627">
        <v>19808</v>
      </c>
      <c r="N277" s="322"/>
      <c r="O277" s="323">
        <v>151</v>
      </c>
      <c r="P277" s="323">
        <v>109</v>
      </c>
      <c r="Q277" s="323">
        <v>89</v>
      </c>
      <c r="R277" s="323">
        <v>83</v>
      </c>
      <c r="S277" s="323">
        <v>58</v>
      </c>
      <c r="T277" s="323">
        <v>19</v>
      </c>
      <c r="U277" s="323">
        <v>8</v>
      </c>
      <c r="V277" s="323">
        <v>1</v>
      </c>
      <c r="W277" s="323">
        <v>518</v>
      </c>
      <c r="X277" s="329" t="s">
        <v>934</v>
      </c>
      <c r="Y277" s="330">
        <v>1</v>
      </c>
      <c r="Z277" s="330">
        <v>0</v>
      </c>
      <c r="AA277" s="330">
        <v>0</v>
      </c>
      <c r="AB277" s="330">
        <v>1</v>
      </c>
      <c r="AC277" s="330">
        <v>0</v>
      </c>
      <c r="AD277" s="330">
        <v>0</v>
      </c>
      <c r="AE277" s="330">
        <v>0</v>
      </c>
      <c r="AF277" s="330">
        <v>0</v>
      </c>
      <c r="AG277" s="328">
        <v>2</v>
      </c>
      <c r="AH277" s="329" t="s">
        <v>934</v>
      </c>
      <c r="AI277" s="184">
        <v>12</v>
      </c>
      <c r="AJ277" s="184">
        <v>27</v>
      </c>
      <c r="AK277" s="184">
        <v>32</v>
      </c>
      <c r="AL277" s="184">
        <v>23</v>
      </c>
      <c r="AM277" s="184">
        <v>32</v>
      </c>
      <c r="AN277" s="184">
        <v>16</v>
      </c>
      <c r="AO277" s="184">
        <v>13</v>
      </c>
      <c r="AP277" s="184">
        <v>4</v>
      </c>
      <c r="AQ277" s="336">
        <v>159</v>
      </c>
      <c r="AR277" s="323">
        <v>5</v>
      </c>
      <c r="AS277" s="323">
        <v>1583</v>
      </c>
      <c r="AT277" s="323">
        <v>1422</v>
      </c>
      <c r="AU277" s="323">
        <v>1079</v>
      </c>
      <c r="AV277" s="323">
        <v>861</v>
      </c>
      <c r="AW277" s="323">
        <v>527</v>
      </c>
      <c r="AX277" s="323">
        <v>195</v>
      </c>
      <c r="AY277" s="323">
        <v>73</v>
      </c>
      <c r="AZ277" s="323">
        <v>3</v>
      </c>
      <c r="BA277" s="323">
        <v>5748</v>
      </c>
      <c r="BB277" s="331">
        <v>1</v>
      </c>
      <c r="BC277" s="330">
        <v>12</v>
      </c>
      <c r="BD277" s="330">
        <v>17</v>
      </c>
      <c r="BE277" s="330">
        <v>22</v>
      </c>
      <c r="BF277" s="330">
        <v>19</v>
      </c>
      <c r="BG277" s="330">
        <v>20</v>
      </c>
      <c r="BH277" s="330">
        <v>12</v>
      </c>
      <c r="BI277" s="330">
        <v>3</v>
      </c>
      <c r="BJ277" s="330">
        <v>0</v>
      </c>
      <c r="BK277" s="328">
        <v>106</v>
      </c>
      <c r="BL277" s="323">
        <v>0</v>
      </c>
      <c r="BM277" s="323">
        <v>2</v>
      </c>
      <c r="BN277" s="323">
        <v>0</v>
      </c>
      <c r="BO277" s="323">
        <v>2</v>
      </c>
      <c r="BP277" s="323">
        <v>0</v>
      </c>
      <c r="BQ277" s="323">
        <v>1</v>
      </c>
      <c r="BR277" s="323">
        <v>6</v>
      </c>
      <c r="BS277" s="323">
        <v>4</v>
      </c>
      <c r="BT277" s="323">
        <v>0</v>
      </c>
      <c r="BU277" s="323">
        <v>15</v>
      </c>
      <c r="BV277" s="329" t="s">
        <v>934</v>
      </c>
      <c r="BW277" s="330">
        <v>92</v>
      </c>
      <c r="BX277" s="330">
        <v>96</v>
      </c>
      <c r="BY277" s="330">
        <v>132</v>
      </c>
      <c r="BZ277" s="330">
        <v>79</v>
      </c>
      <c r="CA277" s="330">
        <v>66</v>
      </c>
      <c r="CB277" s="330">
        <v>23</v>
      </c>
      <c r="CC277" s="330">
        <v>16</v>
      </c>
      <c r="CD277" s="330">
        <v>4</v>
      </c>
      <c r="CE277" s="328">
        <v>508</v>
      </c>
      <c r="CF277" s="322" t="s">
        <v>934</v>
      </c>
      <c r="CG277" s="323">
        <v>131</v>
      </c>
      <c r="CH277" s="323">
        <v>73</v>
      </c>
      <c r="CI277" s="323">
        <v>78</v>
      </c>
      <c r="CJ277" s="323">
        <v>59</v>
      </c>
      <c r="CK277" s="323">
        <v>29</v>
      </c>
      <c r="CL277" s="323">
        <v>8</v>
      </c>
      <c r="CM277" s="323">
        <v>9</v>
      </c>
      <c r="CN277" s="323">
        <v>0</v>
      </c>
      <c r="CO277" s="323">
        <v>387</v>
      </c>
      <c r="CP277" s="329" t="s">
        <v>934</v>
      </c>
      <c r="CQ277" s="330">
        <v>0</v>
      </c>
      <c r="CR277" s="330">
        <v>0</v>
      </c>
      <c r="CS277" s="330">
        <v>0</v>
      </c>
      <c r="CT277" s="330">
        <v>0</v>
      </c>
      <c r="CU277" s="330">
        <v>0</v>
      </c>
      <c r="CV277" s="330">
        <v>0</v>
      </c>
      <c r="CW277" s="330">
        <v>0</v>
      </c>
      <c r="CX277" s="330">
        <v>0</v>
      </c>
      <c r="CY277" s="328">
        <v>0</v>
      </c>
      <c r="CZ277" s="322" t="s">
        <v>934</v>
      </c>
      <c r="DA277" s="323">
        <v>0</v>
      </c>
      <c r="DB277" s="323">
        <v>0</v>
      </c>
      <c r="DC277" s="323">
        <v>0</v>
      </c>
      <c r="DD277" s="323">
        <v>0</v>
      </c>
      <c r="DE277" s="323">
        <v>0</v>
      </c>
      <c r="DF277" s="323">
        <v>0</v>
      </c>
      <c r="DG277" s="323">
        <v>0</v>
      </c>
      <c r="DH277" s="323">
        <v>0</v>
      </c>
      <c r="DI277" s="323">
        <v>0</v>
      </c>
      <c r="DJ277" s="337">
        <v>0</v>
      </c>
      <c r="DK277" s="644">
        <v>16846.7</v>
      </c>
      <c r="DL277" s="614">
        <v>3482</v>
      </c>
      <c r="DM277" s="614">
        <v>4058</v>
      </c>
      <c r="DN277" s="614">
        <v>3908</v>
      </c>
      <c r="DO277" s="614">
        <v>3559</v>
      </c>
      <c r="DP277" s="614">
        <v>2921</v>
      </c>
      <c r="DQ277" s="614">
        <v>1398</v>
      </c>
      <c r="DR277" s="614">
        <v>623</v>
      </c>
      <c r="DS277" s="615">
        <v>45</v>
      </c>
      <c r="DT277" s="607">
        <f t="shared" si="4"/>
        <v>19994</v>
      </c>
      <c r="DU277" s="342"/>
      <c r="EC277" s="646"/>
      <c r="EF277" s="123"/>
      <c r="EG277" s="124"/>
    </row>
    <row r="278" spans="1:137" ht="15">
      <c r="A278" s="22">
        <v>270</v>
      </c>
      <c r="B278" s="23" t="s">
        <v>683</v>
      </c>
      <c r="C278" s="24" t="s">
        <v>684</v>
      </c>
      <c r="D278" s="613"/>
      <c r="E278" s="628">
        <v>9574</v>
      </c>
      <c r="F278" s="628">
        <v>20840</v>
      </c>
      <c r="G278" s="628">
        <v>14653</v>
      </c>
      <c r="H278" s="628">
        <v>10310</v>
      </c>
      <c r="I278" s="628">
        <v>8517</v>
      </c>
      <c r="J278" s="628">
        <v>4352</v>
      </c>
      <c r="K278" s="628">
        <v>1628</v>
      </c>
      <c r="L278" s="628">
        <v>154</v>
      </c>
      <c r="M278" s="627">
        <v>70028</v>
      </c>
      <c r="N278" s="322"/>
      <c r="O278" s="323">
        <v>620</v>
      </c>
      <c r="P278" s="323">
        <v>638</v>
      </c>
      <c r="Q278" s="323">
        <v>439</v>
      </c>
      <c r="R278" s="323">
        <v>279</v>
      </c>
      <c r="S278" s="323">
        <v>150</v>
      </c>
      <c r="T278" s="323">
        <v>74</v>
      </c>
      <c r="U278" s="323">
        <v>35</v>
      </c>
      <c r="V278" s="323">
        <v>10</v>
      </c>
      <c r="W278" s="323">
        <v>2245</v>
      </c>
      <c r="X278" s="329" t="s">
        <v>934</v>
      </c>
      <c r="Y278" s="330">
        <v>0</v>
      </c>
      <c r="Z278" s="330">
        <v>0</v>
      </c>
      <c r="AA278" s="330">
        <v>0</v>
      </c>
      <c r="AB278" s="330">
        <v>0</v>
      </c>
      <c r="AC278" s="330">
        <v>0</v>
      </c>
      <c r="AD278" s="330">
        <v>0</v>
      </c>
      <c r="AE278" s="330">
        <v>0</v>
      </c>
      <c r="AF278" s="330">
        <v>0</v>
      </c>
      <c r="AG278" s="328">
        <v>0</v>
      </c>
      <c r="AH278" s="329" t="s">
        <v>934</v>
      </c>
      <c r="AI278" s="184">
        <v>32</v>
      </c>
      <c r="AJ278" s="184">
        <v>114</v>
      </c>
      <c r="AK278" s="184">
        <v>93</v>
      </c>
      <c r="AL278" s="184">
        <v>81</v>
      </c>
      <c r="AM278" s="184">
        <v>94</v>
      </c>
      <c r="AN278" s="184">
        <v>51</v>
      </c>
      <c r="AO278" s="184">
        <v>38</v>
      </c>
      <c r="AP278" s="184">
        <v>13</v>
      </c>
      <c r="AQ278" s="336">
        <v>516</v>
      </c>
      <c r="AR278" s="323">
        <v>14</v>
      </c>
      <c r="AS278" s="323">
        <v>5141</v>
      </c>
      <c r="AT278" s="323">
        <v>7664</v>
      </c>
      <c r="AU278" s="323">
        <v>4224</v>
      </c>
      <c r="AV278" s="323">
        <v>2531</v>
      </c>
      <c r="AW278" s="323">
        <v>1575</v>
      </c>
      <c r="AX278" s="323">
        <v>682</v>
      </c>
      <c r="AY278" s="323">
        <v>226</v>
      </c>
      <c r="AZ278" s="323">
        <v>16</v>
      </c>
      <c r="BA278" s="323">
        <v>22073</v>
      </c>
      <c r="BB278" s="331">
        <v>0</v>
      </c>
      <c r="BC278" s="330">
        <v>55</v>
      </c>
      <c r="BD278" s="330">
        <v>134</v>
      </c>
      <c r="BE278" s="330">
        <v>111</v>
      </c>
      <c r="BF278" s="330">
        <v>77</v>
      </c>
      <c r="BG278" s="330">
        <v>61</v>
      </c>
      <c r="BH278" s="330">
        <v>29</v>
      </c>
      <c r="BI278" s="330">
        <v>5</v>
      </c>
      <c r="BJ278" s="330">
        <v>0</v>
      </c>
      <c r="BK278" s="328">
        <v>472</v>
      </c>
      <c r="BL278" s="323">
        <v>0</v>
      </c>
      <c r="BM278" s="323">
        <v>2</v>
      </c>
      <c r="BN278" s="323">
        <v>3</v>
      </c>
      <c r="BO278" s="323">
        <v>6</v>
      </c>
      <c r="BP278" s="323">
        <v>8</v>
      </c>
      <c r="BQ278" s="323">
        <v>5</v>
      </c>
      <c r="BR278" s="323">
        <v>23</v>
      </c>
      <c r="BS278" s="323">
        <v>20</v>
      </c>
      <c r="BT278" s="323">
        <v>3</v>
      </c>
      <c r="BU278" s="323">
        <v>70</v>
      </c>
      <c r="BV278" s="329" t="s">
        <v>934</v>
      </c>
      <c r="BW278" s="330">
        <v>113</v>
      </c>
      <c r="BX278" s="330">
        <v>151</v>
      </c>
      <c r="BY278" s="330">
        <v>151</v>
      </c>
      <c r="BZ278" s="330">
        <v>118</v>
      </c>
      <c r="CA278" s="330">
        <v>97</v>
      </c>
      <c r="CB278" s="330">
        <v>75</v>
      </c>
      <c r="CC278" s="330">
        <v>63</v>
      </c>
      <c r="CD278" s="330">
        <v>15</v>
      </c>
      <c r="CE278" s="328">
        <v>783</v>
      </c>
      <c r="CF278" s="322" t="s">
        <v>934</v>
      </c>
      <c r="CG278" s="323">
        <v>0</v>
      </c>
      <c r="CH278" s="323">
        <v>0</v>
      </c>
      <c r="CI278" s="323">
        <v>0</v>
      </c>
      <c r="CJ278" s="323">
        <v>0</v>
      </c>
      <c r="CK278" s="323">
        <v>0</v>
      </c>
      <c r="CL278" s="323">
        <v>0</v>
      </c>
      <c r="CM278" s="323">
        <v>0</v>
      </c>
      <c r="CN278" s="323">
        <v>0</v>
      </c>
      <c r="CO278" s="323">
        <v>0</v>
      </c>
      <c r="CP278" s="329" t="s">
        <v>934</v>
      </c>
      <c r="CQ278" s="330">
        <v>0</v>
      </c>
      <c r="CR278" s="330">
        <v>0</v>
      </c>
      <c r="CS278" s="330">
        <v>0</v>
      </c>
      <c r="CT278" s="330">
        <v>0</v>
      </c>
      <c r="CU278" s="330">
        <v>0</v>
      </c>
      <c r="CV278" s="330">
        <v>0</v>
      </c>
      <c r="CW278" s="330">
        <v>0</v>
      </c>
      <c r="CX278" s="330">
        <v>0</v>
      </c>
      <c r="CY278" s="328">
        <v>0</v>
      </c>
      <c r="CZ278" s="322" t="s">
        <v>934</v>
      </c>
      <c r="DA278" s="323">
        <v>236</v>
      </c>
      <c r="DB278" s="323">
        <v>213</v>
      </c>
      <c r="DC278" s="323">
        <v>190</v>
      </c>
      <c r="DD278" s="323">
        <v>118</v>
      </c>
      <c r="DE278" s="323">
        <v>85</v>
      </c>
      <c r="DF278" s="323">
        <v>41</v>
      </c>
      <c r="DG278" s="323">
        <v>19</v>
      </c>
      <c r="DH278" s="323">
        <v>3</v>
      </c>
      <c r="DI278" s="323">
        <v>905</v>
      </c>
      <c r="DJ278" s="337">
        <v>0</v>
      </c>
      <c r="DK278" s="644">
        <v>58608.7</v>
      </c>
      <c r="DL278" s="614">
        <v>9654</v>
      </c>
      <c r="DM278" s="614">
        <v>21093</v>
      </c>
      <c r="DN278" s="614">
        <v>14812</v>
      </c>
      <c r="DO278" s="614">
        <v>10387</v>
      </c>
      <c r="DP278" s="614">
        <v>8614</v>
      </c>
      <c r="DQ278" s="614">
        <v>4380</v>
      </c>
      <c r="DR278" s="614">
        <v>1666</v>
      </c>
      <c r="DS278" s="615">
        <v>158</v>
      </c>
      <c r="DT278" s="607">
        <f t="shared" si="4"/>
        <v>70764</v>
      </c>
      <c r="DU278" s="342"/>
      <c r="EC278" s="646"/>
      <c r="EF278" s="126"/>
      <c r="EG278" s="124"/>
    </row>
    <row r="279" spans="1:137" ht="15">
      <c r="A279" s="22">
        <v>271</v>
      </c>
      <c r="B279" s="23" t="s">
        <v>685</v>
      </c>
      <c r="C279" s="24" t="s">
        <v>686</v>
      </c>
      <c r="D279" s="613"/>
      <c r="E279" s="628">
        <v>6578</v>
      </c>
      <c r="F279" s="628">
        <v>9938</v>
      </c>
      <c r="G279" s="628">
        <v>10531</v>
      </c>
      <c r="H279" s="628">
        <v>6773</v>
      </c>
      <c r="I279" s="628">
        <v>4889</v>
      </c>
      <c r="J279" s="628">
        <v>3077</v>
      </c>
      <c r="K279" s="628">
        <v>2272</v>
      </c>
      <c r="L279" s="628">
        <v>204</v>
      </c>
      <c r="M279" s="627">
        <v>44262</v>
      </c>
      <c r="N279" s="322"/>
      <c r="O279" s="323">
        <v>297</v>
      </c>
      <c r="P279" s="323">
        <v>206</v>
      </c>
      <c r="Q279" s="323">
        <v>164</v>
      </c>
      <c r="R279" s="323">
        <v>104</v>
      </c>
      <c r="S279" s="323">
        <v>84</v>
      </c>
      <c r="T279" s="323">
        <v>45</v>
      </c>
      <c r="U279" s="323">
        <v>25</v>
      </c>
      <c r="V279" s="323">
        <v>6</v>
      </c>
      <c r="W279" s="323">
        <v>931</v>
      </c>
      <c r="X279" s="329" t="s">
        <v>934</v>
      </c>
      <c r="Y279" s="330">
        <v>0</v>
      </c>
      <c r="Z279" s="330">
        <v>0</v>
      </c>
      <c r="AA279" s="330">
        <v>0</v>
      </c>
      <c r="AB279" s="330">
        <v>0</v>
      </c>
      <c r="AC279" s="330">
        <v>0</v>
      </c>
      <c r="AD279" s="330">
        <v>0</v>
      </c>
      <c r="AE279" s="330">
        <v>0</v>
      </c>
      <c r="AF279" s="330">
        <v>0</v>
      </c>
      <c r="AG279" s="328">
        <v>0</v>
      </c>
      <c r="AH279" s="329" t="s">
        <v>934</v>
      </c>
      <c r="AI279" s="184">
        <v>7</v>
      </c>
      <c r="AJ279" s="184">
        <v>50</v>
      </c>
      <c r="AK279" s="184">
        <v>51</v>
      </c>
      <c r="AL279" s="184">
        <v>46</v>
      </c>
      <c r="AM279" s="184">
        <v>32</v>
      </c>
      <c r="AN279" s="184">
        <v>34</v>
      </c>
      <c r="AO279" s="184">
        <v>25</v>
      </c>
      <c r="AP279" s="184">
        <v>14</v>
      </c>
      <c r="AQ279" s="336">
        <v>259</v>
      </c>
      <c r="AR279" s="323">
        <v>1</v>
      </c>
      <c r="AS279" s="323">
        <v>3012</v>
      </c>
      <c r="AT279" s="323">
        <v>3384</v>
      </c>
      <c r="AU279" s="323">
        <v>2692</v>
      </c>
      <c r="AV279" s="323">
        <v>1351</v>
      </c>
      <c r="AW279" s="323">
        <v>781</v>
      </c>
      <c r="AX279" s="323">
        <v>366</v>
      </c>
      <c r="AY279" s="323">
        <v>253</v>
      </c>
      <c r="AZ279" s="323">
        <v>15</v>
      </c>
      <c r="BA279" s="323">
        <v>11855</v>
      </c>
      <c r="BB279" s="331">
        <v>0</v>
      </c>
      <c r="BC279" s="330">
        <v>53</v>
      </c>
      <c r="BD279" s="330">
        <v>91</v>
      </c>
      <c r="BE279" s="330">
        <v>85</v>
      </c>
      <c r="BF279" s="330">
        <v>43</v>
      </c>
      <c r="BG279" s="330">
        <v>35</v>
      </c>
      <c r="BH279" s="330">
        <v>20</v>
      </c>
      <c r="BI279" s="330">
        <v>13</v>
      </c>
      <c r="BJ279" s="330">
        <v>0</v>
      </c>
      <c r="BK279" s="328">
        <v>340</v>
      </c>
      <c r="BL279" s="323">
        <v>0</v>
      </c>
      <c r="BM279" s="323">
        <v>3</v>
      </c>
      <c r="BN279" s="323">
        <v>2</v>
      </c>
      <c r="BO279" s="323">
        <v>2</v>
      </c>
      <c r="BP279" s="323">
        <v>3</v>
      </c>
      <c r="BQ279" s="323">
        <v>4</v>
      </c>
      <c r="BR279" s="323">
        <v>5</v>
      </c>
      <c r="BS279" s="323">
        <v>15</v>
      </c>
      <c r="BT279" s="323">
        <v>6</v>
      </c>
      <c r="BU279" s="323">
        <v>40</v>
      </c>
      <c r="BV279" s="329" t="s">
        <v>934</v>
      </c>
      <c r="BW279" s="330">
        <v>36</v>
      </c>
      <c r="BX279" s="330">
        <v>22</v>
      </c>
      <c r="BY279" s="330">
        <v>18</v>
      </c>
      <c r="BZ279" s="330">
        <v>10</v>
      </c>
      <c r="CA279" s="330">
        <v>14</v>
      </c>
      <c r="CB279" s="330">
        <v>4</v>
      </c>
      <c r="CC279" s="330">
        <v>9</v>
      </c>
      <c r="CD279" s="330">
        <v>2</v>
      </c>
      <c r="CE279" s="328">
        <v>115</v>
      </c>
      <c r="CF279" s="322" t="s">
        <v>934</v>
      </c>
      <c r="CG279" s="323">
        <v>0</v>
      </c>
      <c r="CH279" s="323">
        <v>0</v>
      </c>
      <c r="CI279" s="323">
        <v>0</v>
      </c>
      <c r="CJ279" s="323">
        <v>0</v>
      </c>
      <c r="CK279" s="323">
        <v>0</v>
      </c>
      <c r="CL279" s="323">
        <v>0</v>
      </c>
      <c r="CM279" s="323">
        <v>0</v>
      </c>
      <c r="CN279" s="323">
        <v>0</v>
      </c>
      <c r="CO279" s="323">
        <v>0</v>
      </c>
      <c r="CP279" s="329" t="s">
        <v>934</v>
      </c>
      <c r="CQ279" s="330">
        <v>94</v>
      </c>
      <c r="CR279" s="330">
        <v>68</v>
      </c>
      <c r="CS279" s="330">
        <v>50</v>
      </c>
      <c r="CT279" s="330">
        <v>35</v>
      </c>
      <c r="CU279" s="330">
        <v>31</v>
      </c>
      <c r="CV279" s="330">
        <v>13</v>
      </c>
      <c r="CW279" s="330">
        <v>29</v>
      </c>
      <c r="CX279" s="330">
        <v>3</v>
      </c>
      <c r="CY279" s="328">
        <v>323</v>
      </c>
      <c r="CZ279" s="322" t="s">
        <v>934</v>
      </c>
      <c r="DA279" s="323">
        <v>0</v>
      </c>
      <c r="DB279" s="323">
        <v>0</v>
      </c>
      <c r="DC279" s="323">
        <v>0</v>
      </c>
      <c r="DD279" s="323">
        <v>0</v>
      </c>
      <c r="DE279" s="323">
        <v>0</v>
      </c>
      <c r="DF279" s="323">
        <v>0</v>
      </c>
      <c r="DG279" s="323">
        <v>0</v>
      </c>
      <c r="DH279" s="323">
        <v>0</v>
      </c>
      <c r="DI279" s="323">
        <v>0</v>
      </c>
      <c r="DJ279" s="337">
        <v>0</v>
      </c>
      <c r="DK279" s="644">
        <v>39249.7</v>
      </c>
      <c r="DL279" s="614">
        <v>6640</v>
      </c>
      <c r="DM279" s="614">
        <v>9977</v>
      </c>
      <c r="DN279" s="614">
        <v>10601</v>
      </c>
      <c r="DO279" s="614">
        <v>6817</v>
      </c>
      <c r="DP279" s="614">
        <v>4922</v>
      </c>
      <c r="DQ279" s="614">
        <v>3111</v>
      </c>
      <c r="DR279" s="614">
        <v>2273</v>
      </c>
      <c r="DS279" s="615">
        <v>205</v>
      </c>
      <c r="DT279" s="607">
        <f t="shared" si="4"/>
        <v>44546</v>
      </c>
      <c r="DU279" s="342"/>
      <c r="EC279" s="646"/>
      <c r="EF279" s="126"/>
      <c r="EG279" s="124"/>
    </row>
    <row r="280" spans="1:137" ht="15">
      <c r="A280" s="22">
        <v>272</v>
      </c>
      <c r="B280" s="23" t="s">
        <v>687</v>
      </c>
      <c r="C280" s="24" t="s">
        <v>688</v>
      </c>
      <c r="D280" s="613"/>
      <c r="E280" s="629">
        <v>46040</v>
      </c>
      <c r="F280" s="629">
        <v>8630</v>
      </c>
      <c r="G280" s="629">
        <v>7239</v>
      </c>
      <c r="H280" s="629">
        <v>3880</v>
      </c>
      <c r="I280" s="629">
        <v>1566</v>
      </c>
      <c r="J280" s="629">
        <v>701</v>
      </c>
      <c r="K280" s="629">
        <v>318</v>
      </c>
      <c r="L280" s="629">
        <v>49</v>
      </c>
      <c r="M280" s="627">
        <v>68423</v>
      </c>
      <c r="N280" s="322"/>
      <c r="O280" s="323">
        <v>1590</v>
      </c>
      <c r="P280" s="323">
        <v>156</v>
      </c>
      <c r="Q280" s="323">
        <v>113</v>
      </c>
      <c r="R280" s="323">
        <v>71</v>
      </c>
      <c r="S280" s="323">
        <v>18</v>
      </c>
      <c r="T280" s="323">
        <v>15</v>
      </c>
      <c r="U280" s="323">
        <v>9</v>
      </c>
      <c r="V280" s="323">
        <v>4</v>
      </c>
      <c r="W280" s="323">
        <v>1976</v>
      </c>
      <c r="X280" s="329" t="s">
        <v>934</v>
      </c>
      <c r="Y280" s="330">
        <v>7</v>
      </c>
      <c r="Z280" s="330">
        <v>1</v>
      </c>
      <c r="AA280" s="330">
        <v>0</v>
      </c>
      <c r="AB280" s="330">
        <v>1</v>
      </c>
      <c r="AC280" s="330">
        <v>0</v>
      </c>
      <c r="AD280" s="330">
        <v>0</v>
      </c>
      <c r="AE280" s="330">
        <v>0</v>
      </c>
      <c r="AF280" s="330">
        <v>0</v>
      </c>
      <c r="AG280" s="328">
        <v>9</v>
      </c>
      <c r="AH280" s="329" t="s">
        <v>934</v>
      </c>
      <c r="AI280" s="184">
        <v>64</v>
      </c>
      <c r="AJ280" s="184">
        <v>39</v>
      </c>
      <c r="AK280" s="184">
        <v>42</v>
      </c>
      <c r="AL280" s="184">
        <v>34</v>
      </c>
      <c r="AM280" s="184">
        <v>6</v>
      </c>
      <c r="AN280" s="184">
        <v>9</v>
      </c>
      <c r="AO280" s="184">
        <v>8</v>
      </c>
      <c r="AP280" s="184">
        <v>11</v>
      </c>
      <c r="AQ280" s="336">
        <v>213</v>
      </c>
      <c r="AR280" s="323">
        <v>14</v>
      </c>
      <c r="AS280" s="323">
        <v>22000</v>
      </c>
      <c r="AT280" s="323">
        <v>2482</v>
      </c>
      <c r="AU280" s="323">
        <v>1669</v>
      </c>
      <c r="AV280" s="323">
        <v>782</v>
      </c>
      <c r="AW280" s="323">
        <v>282</v>
      </c>
      <c r="AX280" s="323">
        <v>87</v>
      </c>
      <c r="AY280" s="323">
        <v>41</v>
      </c>
      <c r="AZ280" s="323">
        <v>0</v>
      </c>
      <c r="BA280" s="323">
        <v>27357</v>
      </c>
      <c r="BB280" s="331">
        <v>2</v>
      </c>
      <c r="BC280" s="330">
        <v>320</v>
      </c>
      <c r="BD280" s="330">
        <v>84</v>
      </c>
      <c r="BE280" s="330">
        <v>71</v>
      </c>
      <c r="BF280" s="330">
        <v>27</v>
      </c>
      <c r="BG280" s="330">
        <v>8</v>
      </c>
      <c r="BH280" s="330">
        <v>4</v>
      </c>
      <c r="BI280" s="330">
        <v>2</v>
      </c>
      <c r="BJ280" s="330">
        <v>0</v>
      </c>
      <c r="BK280" s="328">
        <v>518</v>
      </c>
      <c r="BL280" s="323">
        <v>0</v>
      </c>
      <c r="BM280" s="323">
        <v>4</v>
      </c>
      <c r="BN280" s="323">
        <v>3</v>
      </c>
      <c r="BO280" s="323">
        <v>4</v>
      </c>
      <c r="BP280" s="323">
        <v>0</v>
      </c>
      <c r="BQ280" s="323">
        <v>3</v>
      </c>
      <c r="BR280" s="323">
        <v>9</v>
      </c>
      <c r="BS280" s="323">
        <v>15</v>
      </c>
      <c r="BT280" s="323">
        <v>11</v>
      </c>
      <c r="BU280" s="323">
        <v>49</v>
      </c>
      <c r="BV280" s="329" t="s">
        <v>934</v>
      </c>
      <c r="BW280" s="330">
        <v>47</v>
      </c>
      <c r="BX280" s="330">
        <v>5</v>
      </c>
      <c r="BY280" s="330">
        <v>10</v>
      </c>
      <c r="BZ280" s="330">
        <v>10</v>
      </c>
      <c r="CA280" s="330">
        <v>4</v>
      </c>
      <c r="CB280" s="330">
        <v>2</v>
      </c>
      <c r="CC280" s="330">
        <v>2</v>
      </c>
      <c r="CD280" s="330">
        <v>0</v>
      </c>
      <c r="CE280" s="328">
        <v>80</v>
      </c>
      <c r="CF280" s="322" t="s">
        <v>934</v>
      </c>
      <c r="CG280" s="323">
        <v>703</v>
      </c>
      <c r="CH280" s="323">
        <v>99</v>
      </c>
      <c r="CI280" s="323">
        <v>65</v>
      </c>
      <c r="CJ280" s="323">
        <v>36</v>
      </c>
      <c r="CK280" s="323">
        <v>26</v>
      </c>
      <c r="CL280" s="323">
        <v>7</v>
      </c>
      <c r="CM280" s="323">
        <v>1</v>
      </c>
      <c r="CN280" s="323">
        <v>0</v>
      </c>
      <c r="CO280" s="323">
        <v>937</v>
      </c>
      <c r="CP280" s="329" t="s">
        <v>934</v>
      </c>
      <c r="CQ280" s="330">
        <v>0</v>
      </c>
      <c r="CR280" s="330">
        <v>0</v>
      </c>
      <c r="CS280" s="330">
        <v>0</v>
      </c>
      <c r="CT280" s="330">
        <v>0</v>
      </c>
      <c r="CU280" s="330">
        <v>0</v>
      </c>
      <c r="CV280" s="330">
        <v>0</v>
      </c>
      <c r="CW280" s="330">
        <v>0</v>
      </c>
      <c r="CX280" s="330">
        <v>0</v>
      </c>
      <c r="CY280" s="328">
        <v>0</v>
      </c>
      <c r="CZ280" s="322" t="s">
        <v>934</v>
      </c>
      <c r="DA280" s="323">
        <v>0</v>
      </c>
      <c r="DB280" s="323">
        <v>0</v>
      </c>
      <c r="DC280" s="323">
        <v>0</v>
      </c>
      <c r="DD280" s="323">
        <v>0</v>
      </c>
      <c r="DE280" s="323">
        <v>0</v>
      </c>
      <c r="DF280" s="323">
        <v>0</v>
      </c>
      <c r="DG280" s="323">
        <v>0</v>
      </c>
      <c r="DH280" s="323">
        <v>0</v>
      </c>
      <c r="DI280" s="323">
        <v>0</v>
      </c>
      <c r="DJ280" s="337">
        <v>0</v>
      </c>
      <c r="DK280" s="644">
        <v>44460.6</v>
      </c>
      <c r="DL280" s="616">
        <v>46010</v>
      </c>
      <c r="DM280" s="616">
        <v>8840</v>
      </c>
      <c r="DN280" s="616">
        <v>7382</v>
      </c>
      <c r="DO280" s="616">
        <v>3923</v>
      </c>
      <c r="DP280" s="616">
        <v>1572</v>
      </c>
      <c r="DQ280" s="616">
        <v>705</v>
      </c>
      <c r="DR280" s="616">
        <v>315</v>
      </c>
      <c r="DS280" s="617">
        <v>48</v>
      </c>
      <c r="DT280" s="607">
        <f t="shared" si="4"/>
        <v>68795</v>
      </c>
      <c r="DU280" s="342"/>
      <c r="EC280" s="646"/>
      <c r="EF280" s="125"/>
      <c r="EG280" s="124"/>
    </row>
    <row r="281" spans="1:137" ht="15">
      <c r="A281" s="22">
        <v>273</v>
      </c>
      <c r="B281" s="23" t="s">
        <v>689</v>
      </c>
      <c r="C281" s="24" t="s">
        <v>690</v>
      </c>
      <c r="D281" s="613"/>
      <c r="E281" s="628">
        <v>29023</v>
      </c>
      <c r="F281" s="628">
        <v>31522</v>
      </c>
      <c r="G281" s="628">
        <v>21462</v>
      </c>
      <c r="H281" s="628">
        <v>9235</v>
      </c>
      <c r="I281" s="628">
        <v>3032</v>
      </c>
      <c r="J281" s="628">
        <v>1338</v>
      </c>
      <c r="K281" s="628">
        <v>465</v>
      </c>
      <c r="L281" s="628">
        <v>31</v>
      </c>
      <c r="M281" s="627">
        <v>96108</v>
      </c>
      <c r="N281" s="322"/>
      <c r="O281" s="323">
        <v>1523</v>
      </c>
      <c r="P281" s="323">
        <v>1359</v>
      </c>
      <c r="Q281" s="323">
        <v>1265</v>
      </c>
      <c r="R281" s="323">
        <v>517</v>
      </c>
      <c r="S281" s="323">
        <v>140</v>
      </c>
      <c r="T281" s="323">
        <v>46</v>
      </c>
      <c r="U281" s="323">
        <v>29</v>
      </c>
      <c r="V281" s="323">
        <v>21</v>
      </c>
      <c r="W281" s="323">
        <v>4900</v>
      </c>
      <c r="X281" s="329" t="s">
        <v>934</v>
      </c>
      <c r="Y281" s="330">
        <v>2</v>
      </c>
      <c r="Z281" s="330">
        <v>2</v>
      </c>
      <c r="AA281" s="330">
        <v>0</v>
      </c>
      <c r="AB281" s="330">
        <v>1</v>
      </c>
      <c r="AC281" s="330">
        <v>0</v>
      </c>
      <c r="AD281" s="330">
        <v>0</v>
      </c>
      <c r="AE281" s="330">
        <v>0</v>
      </c>
      <c r="AF281" s="330">
        <v>0</v>
      </c>
      <c r="AG281" s="328">
        <v>5</v>
      </c>
      <c r="AH281" s="329" t="s">
        <v>934</v>
      </c>
      <c r="AI281" s="184">
        <v>63</v>
      </c>
      <c r="AJ281" s="184">
        <v>176</v>
      </c>
      <c r="AK281" s="184">
        <v>156</v>
      </c>
      <c r="AL281" s="184">
        <v>82</v>
      </c>
      <c r="AM281" s="184">
        <v>31</v>
      </c>
      <c r="AN281" s="184">
        <v>19</v>
      </c>
      <c r="AO281" s="184">
        <v>22</v>
      </c>
      <c r="AP281" s="184">
        <v>6</v>
      </c>
      <c r="AQ281" s="336">
        <v>555</v>
      </c>
      <c r="AR281" s="323">
        <v>19</v>
      </c>
      <c r="AS281" s="323">
        <v>16658</v>
      </c>
      <c r="AT281" s="323">
        <v>10735</v>
      </c>
      <c r="AU281" s="323">
        <v>5793</v>
      </c>
      <c r="AV281" s="323">
        <v>2068</v>
      </c>
      <c r="AW281" s="323">
        <v>628</v>
      </c>
      <c r="AX281" s="323">
        <v>215</v>
      </c>
      <c r="AY281" s="323">
        <v>47</v>
      </c>
      <c r="AZ281" s="323">
        <v>0</v>
      </c>
      <c r="BA281" s="323">
        <v>36163</v>
      </c>
      <c r="BB281" s="331">
        <v>2</v>
      </c>
      <c r="BC281" s="330">
        <v>300</v>
      </c>
      <c r="BD281" s="330">
        <v>428</v>
      </c>
      <c r="BE281" s="330">
        <v>293</v>
      </c>
      <c r="BF281" s="330">
        <v>92</v>
      </c>
      <c r="BG281" s="330">
        <v>45</v>
      </c>
      <c r="BH281" s="330">
        <v>16</v>
      </c>
      <c r="BI281" s="330">
        <v>3</v>
      </c>
      <c r="BJ281" s="330">
        <v>0</v>
      </c>
      <c r="BK281" s="328">
        <v>1179</v>
      </c>
      <c r="BL281" s="323">
        <v>1</v>
      </c>
      <c r="BM281" s="323">
        <v>34</v>
      </c>
      <c r="BN281" s="323">
        <v>24</v>
      </c>
      <c r="BO281" s="323">
        <v>18</v>
      </c>
      <c r="BP281" s="323">
        <v>15</v>
      </c>
      <c r="BQ281" s="323">
        <v>26</v>
      </c>
      <c r="BR281" s="323">
        <v>20</v>
      </c>
      <c r="BS281" s="323">
        <v>22</v>
      </c>
      <c r="BT281" s="323">
        <v>2</v>
      </c>
      <c r="BU281" s="323">
        <v>162</v>
      </c>
      <c r="BV281" s="329" t="s">
        <v>934</v>
      </c>
      <c r="BW281" s="330">
        <v>380</v>
      </c>
      <c r="BX281" s="330">
        <v>276</v>
      </c>
      <c r="BY281" s="330">
        <v>256</v>
      </c>
      <c r="BZ281" s="330">
        <v>147</v>
      </c>
      <c r="CA281" s="330">
        <v>64</v>
      </c>
      <c r="CB281" s="330">
        <v>25</v>
      </c>
      <c r="CC281" s="330">
        <v>7</v>
      </c>
      <c r="CD281" s="330">
        <v>0</v>
      </c>
      <c r="CE281" s="328">
        <v>1155</v>
      </c>
      <c r="CF281" s="322" t="s">
        <v>934</v>
      </c>
      <c r="CG281" s="323">
        <v>0</v>
      </c>
      <c r="CH281" s="323">
        <v>0</v>
      </c>
      <c r="CI281" s="323">
        <v>0</v>
      </c>
      <c r="CJ281" s="323">
        <v>0</v>
      </c>
      <c r="CK281" s="323">
        <v>0</v>
      </c>
      <c r="CL281" s="323">
        <v>0</v>
      </c>
      <c r="CM281" s="323">
        <v>0</v>
      </c>
      <c r="CN281" s="323">
        <v>0</v>
      </c>
      <c r="CO281" s="323">
        <v>0</v>
      </c>
      <c r="CP281" s="329" t="s">
        <v>934</v>
      </c>
      <c r="CQ281" s="330">
        <v>426</v>
      </c>
      <c r="CR281" s="330">
        <v>285</v>
      </c>
      <c r="CS281" s="330">
        <v>194</v>
      </c>
      <c r="CT281" s="330">
        <v>98</v>
      </c>
      <c r="CU281" s="330">
        <v>29</v>
      </c>
      <c r="CV281" s="330">
        <v>10</v>
      </c>
      <c r="CW281" s="330">
        <v>4</v>
      </c>
      <c r="CX281" s="330">
        <v>0</v>
      </c>
      <c r="CY281" s="328">
        <v>1046</v>
      </c>
      <c r="CZ281" s="322" t="s">
        <v>934</v>
      </c>
      <c r="DA281" s="323">
        <v>0</v>
      </c>
      <c r="DB281" s="323">
        <v>0</v>
      </c>
      <c r="DC281" s="323">
        <v>0</v>
      </c>
      <c r="DD281" s="323">
        <v>0</v>
      </c>
      <c r="DE281" s="323">
        <v>0</v>
      </c>
      <c r="DF281" s="323">
        <v>0</v>
      </c>
      <c r="DG281" s="323">
        <v>0</v>
      </c>
      <c r="DH281" s="323">
        <v>0</v>
      </c>
      <c r="DI281" s="323">
        <v>0</v>
      </c>
      <c r="DJ281" s="337">
        <v>0</v>
      </c>
      <c r="DK281" s="644">
        <v>66752.7</v>
      </c>
      <c r="DL281" s="614">
        <v>29760</v>
      </c>
      <c r="DM281" s="614">
        <v>32014</v>
      </c>
      <c r="DN281" s="614">
        <v>21741</v>
      </c>
      <c r="DO281" s="614">
        <v>9176</v>
      </c>
      <c r="DP281" s="614">
        <v>3018</v>
      </c>
      <c r="DQ281" s="614">
        <v>1352</v>
      </c>
      <c r="DR281" s="614">
        <v>457</v>
      </c>
      <c r="DS281" s="615">
        <v>32</v>
      </c>
      <c r="DT281" s="607">
        <f t="shared" si="4"/>
        <v>97550</v>
      </c>
      <c r="DU281" s="342"/>
      <c r="EC281" s="646"/>
      <c r="EF281" s="123"/>
      <c r="EG281" s="124"/>
    </row>
    <row r="282" spans="1:137" ht="15">
      <c r="A282" s="22">
        <v>274</v>
      </c>
      <c r="B282" s="23" t="s">
        <v>691</v>
      </c>
      <c r="C282" s="24" t="s">
        <v>692</v>
      </c>
      <c r="D282" s="613"/>
      <c r="E282" s="628">
        <v>15986</v>
      </c>
      <c r="F282" s="628">
        <v>14823</v>
      </c>
      <c r="G282" s="628">
        <v>22463</v>
      </c>
      <c r="H282" s="628">
        <v>12218</v>
      </c>
      <c r="I282" s="628">
        <v>6427</v>
      </c>
      <c r="J282" s="628">
        <v>3449</v>
      </c>
      <c r="K282" s="628">
        <v>1500</v>
      </c>
      <c r="L282" s="628">
        <v>108</v>
      </c>
      <c r="M282" s="627">
        <v>76974</v>
      </c>
      <c r="N282" s="322"/>
      <c r="O282" s="323">
        <v>700</v>
      </c>
      <c r="P282" s="323">
        <v>416</v>
      </c>
      <c r="Q282" s="323">
        <v>534</v>
      </c>
      <c r="R282" s="323">
        <v>244</v>
      </c>
      <c r="S282" s="323">
        <v>110</v>
      </c>
      <c r="T282" s="323">
        <v>40</v>
      </c>
      <c r="U282" s="323">
        <v>17</v>
      </c>
      <c r="V282" s="323">
        <v>1</v>
      </c>
      <c r="W282" s="323">
        <v>2062</v>
      </c>
      <c r="X282" s="329" t="s">
        <v>934</v>
      </c>
      <c r="Y282" s="330">
        <v>1</v>
      </c>
      <c r="Z282" s="330">
        <v>0</v>
      </c>
      <c r="AA282" s="330">
        <v>1</v>
      </c>
      <c r="AB282" s="330">
        <v>0</v>
      </c>
      <c r="AC282" s="330">
        <v>0</v>
      </c>
      <c r="AD282" s="330">
        <v>0</v>
      </c>
      <c r="AE282" s="330">
        <v>0</v>
      </c>
      <c r="AF282" s="330">
        <v>0</v>
      </c>
      <c r="AG282" s="328">
        <v>2</v>
      </c>
      <c r="AH282" s="329" t="s">
        <v>934</v>
      </c>
      <c r="AI282" s="184">
        <v>20</v>
      </c>
      <c r="AJ282" s="184">
        <v>32</v>
      </c>
      <c r="AK282" s="184">
        <v>74</v>
      </c>
      <c r="AL282" s="184">
        <v>50</v>
      </c>
      <c r="AM282" s="184">
        <v>46</v>
      </c>
      <c r="AN282" s="184">
        <v>34</v>
      </c>
      <c r="AO282" s="184">
        <v>41</v>
      </c>
      <c r="AP282" s="184">
        <v>22</v>
      </c>
      <c r="AQ282" s="336">
        <v>319</v>
      </c>
      <c r="AR282" s="323">
        <v>11</v>
      </c>
      <c r="AS282" s="323">
        <v>10027</v>
      </c>
      <c r="AT282" s="323">
        <v>6755</v>
      </c>
      <c r="AU282" s="323">
        <v>7919</v>
      </c>
      <c r="AV282" s="323">
        <v>3581</v>
      </c>
      <c r="AW282" s="323">
        <v>1440</v>
      </c>
      <c r="AX282" s="323">
        <v>601</v>
      </c>
      <c r="AY282" s="323">
        <v>211</v>
      </c>
      <c r="AZ282" s="323">
        <v>11</v>
      </c>
      <c r="BA282" s="323">
        <v>30556</v>
      </c>
      <c r="BB282" s="331">
        <v>0</v>
      </c>
      <c r="BC282" s="330">
        <v>66</v>
      </c>
      <c r="BD282" s="330">
        <v>100</v>
      </c>
      <c r="BE282" s="330">
        <v>126</v>
      </c>
      <c r="BF282" s="330">
        <v>73</v>
      </c>
      <c r="BG282" s="330">
        <v>38</v>
      </c>
      <c r="BH282" s="330">
        <v>14</v>
      </c>
      <c r="BI282" s="330">
        <v>5</v>
      </c>
      <c r="BJ282" s="330">
        <v>0</v>
      </c>
      <c r="BK282" s="328">
        <v>422</v>
      </c>
      <c r="BL282" s="323">
        <v>0</v>
      </c>
      <c r="BM282" s="323">
        <v>1</v>
      </c>
      <c r="BN282" s="323">
        <v>2</v>
      </c>
      <c r="BO282" s="323">
        <v>15</v>
      </c>
      <c r="BP282" s="323">
        <v>37</v>
      </c>
      <c r="BQ282" s="323">
        <v>22</v>
      </c>
      <c r="BR282" s="323">
        <v>33</v>
      </c>
      <c r="BS282" s="323">
        <v>27</v>
      </c>
      <c r="BT282" s="323">
        <v>4</v>
      </c>
      <c r="BU282" s="323">
        <v>141</v>
      </c>
      <c r="BV282" s="329" t="s">
        <v>934</v>
      </c>
      <c r="BW282" s="330">
        <v>32</v>
      </c>
      <c r="BX282" s="330">
        <v>40</v>
      </c>
      <c r="BY282" s="330">
        <v>92</v>
      </c>
      <c r="BZ282" s="330">
        <v>49</v>
      </c>
      <c r="CA282" s="330">
        <v>23</v>
      </c>
      <c r="CB282" s="330">
        <v>17</v>
      </c>
      <c r="CC282" s="330">
        <v>8</v>
      </c>
      <c r="CD282" s="330">
        <v>0</v>
      </c>
      <c r="CE282" s="328">
        <v>261</v>
      </c>
      <c r="CF282" s="322" t="s">
        <v>934</v>
      </c>
      <c r="CG282" s="323">
        <v>0</v>
      </c>
      <c r="CH282" s="323">
        <v>0</v>
      </c>
      <c r="CI282" s="323">
        <v>0</v>
      </c>
      <c r="CJ282" s="323">
        <v>0</v>
      </c>
      <c r="CK282" s="323">
        <v>0</v>
      </c>
      <c r="CL282" s="323">
        <v>0</v>
      </c>
      <c r="CM282" s="323">
        <v>0</v>
      </c>
      <c r="CN282" s="323">
        <v>0</v>
      </c>
      <c r="CO282" s="323">
        <v>0</v>
      </c>
      <c r="CP282" s="329" t="s">
        <v>934</v>
      </c>
      <c r="CQ282" s="330">
        <v>417</v>
      </c>
      <c r="CR282" s="330">
        <v>210</v>
      </c>
      <c r="CS282" s="330">
        <v>199</v>
      </c>
      <c r="CT282" s="330">
        <v>116</v>
      </c>
      <c r="CU282" s="330">
        <v>78</v>
      </c>
      <c r="CV282" s="330">
        <v>31</v>
      </c>
      <c r="CW282" s="330">
        <v>14</v>
      </c>
      <c r="CX282" s="330">
        <v>4</v>
      </c>
      <c r="CY282" s="328">
        <v>1069</v>
      </c>
      <c r="CZ282" s="322" t="s">
        <v>934</v>
      </c>
      <c r="DA282" s="323">
        <v>0</v>
      </c>
      <c r="DB282" s="323">
        <v>0</v>
      </c>
      <c r="DC282" s="323">
        <v>0</v>
      </c>
      <c r="DD282" s="323">
        <v>0</v>
      </c>
      <c r="DE282" s="323">
        <v>0</v>
      </c>
      <c r="DF282" s="323">
        <v>0</v>
      </c>
      <c r="DG282" s="323">
        <v>0</v>
      </c>
      <c r="DH282" s="323">
        <v>0</v>
      </c>
      <c r="DI282" s="323">
        <v>0</v>
      </c>
      <c r="DJ282" s="337">
        <v>6</v>
      </c>
      <c r="DK282" s="644">
        <v>61441</v>
      </c>
      <c r="DL282" s="614">
        <v>16018</v>
      </c>
      <c r="DM282" s="614">
        <v>14905</v>
      </c>
      <c r="DN282" s="614">
        <v>22595</v>
      </c>
      <c r="DO282" s="614">
        <v>12282</v>
      </c>
      <c r="DP282" s="614">
        <v>6457</v>
      </c>
      <c r="DQ282" s="614">
        <v>3453</v>
      </c>
      <c r="DR282" s="614">
        <v>1492</v>
      </c>
      <c r="DS282" s="615">
        <v>109</v>
      </c>
      <c r="DT282" s="607">
        <f t="shared" si="4"/>
        <v>77311</v>
      </c>
      <c r="DU282" s="342"/>
      <c r="EC282" s="646"/>
      <c r="EF282" s="126"/>
      <c r="EG282" s="124"/>
    </row>
    <row r="283" spans="1:137" ht="15">
      <c r="A283" s="22">
        <v>275</v>
      </c>
      <c r="B283" s="23" t="s">
        <v>693</v>
      </c>
      <c r="C283" s="24" t="s">
        <v>694</v>
      </c>
      <c r="D283" s="613"/>
      <c r="E283" s="640">
        <v>12370</v>
      </c>
      <c r="F283" s="640">
        <v>36791</v>
      </c>
      <c r="G283" s="629">
        <v>31235</v>
      </c>
      <c r="H283" s="629">
        <v>18220</v>
      </c>
      <c r="I283" s="629">
        <v>11729</v>
      </c>
      <c r="J283" s="629">
        <v>5304</v>
      </c>
      <c r="K283" s="629">
        <v>3795</v>
      </c>
      <c r="L283" s="629">
        <v>498</v>
      </c>
      <c r="M283" s="633">
        <v>119942</v>
      </c>
      <c r="N283" s="322"/>
      <c r="O283" s="323">
        <v>568</v>
      </c>
      <c r="P283" s="323">
        <v>1583</v>
      </c>
      <c r="Q283" s="323">
        <v>1287</v>
      </c>
      <c r="R283" s="323">
        <v>670</v>
      </c>
      <c r="S283" s="323">
        <v>498</v>
      </c>
      <c r="T283" s="323">
        <v>185</v>
      </c>
      <c r="U283" s="323">
        <v>63</v>
      </c>
      <c r="V283" s="323">
        <v>25</v>
      </c>
      <c r="W283" s="323">
        <v>4879</v>
      </c>
      <c r="X283" s="329" t="s">
        <v>934</v>
      </c>
      <c r="Y283" s="330">
        <v>35</v>
      </c>
      <c r="Z283" s="330">
        <v>141</v>
      </c>
      <c r="AA283" s="330">
        <v>25</v>
      </c>
      <c r="AB283" s="330">
        <v>5</v>
      </c>
      <c r="AC283" s="330">
        <v>0</v>
      </c>
      <c r="AD283" s="330">
        <v>4</v>
      </c>
      <c r="AE283" s="330">
        <v>1</v>
      </c>
      <c r="AF283" s="330">
        <v>0</v>
      </c>
      <c r="AG283" s="328">
        <v>211</v>
      </c>
      <c r="AH283" s="329" t="s">
        <v>934</v>
      </c>
      <c r="AI283" s="184">
        <v>7</v>
      </c>
      <c r="AJ283" s="184">
        <v>22</v>
      </c>
      <c r="AK283" s="184">
        <v>48</v>
      </c>
      <c r="AL283" s="184">
        <v>67</v>
      </c>
      <c r="AM283" s="184">
        <v>32</v>
      </c>
      <c r="AN283" s="184">
        <v>28</v>
      </c>
      <c r="AO283" s="184">
        <v>18</v>
      </c>
      <c r="AP283" s="184">
        <v>7</v>
      </c>
      <c r="AQ283" s="336">
        <v>229</v>
      </c>
      <c r="AR283" s="323">
        <v>3</v>
      </c>
      <c r="AS283" s="323">
        <v>8604</v>
      </c>
      <c r="AT283" s="323">
        <v>21594</v>
      </c>
      <c r="AU283" s="323">
        <v>13477</v>
      </c>
      <c r="AV283" s="323">
        <v>6315</v>
      </c>
      <c r="AW283" s="323">
        <v>3252</v>
      </c>
      <c r="AX283" s="323">
        <v>1301</v>
      </c>
      <c r="AY283" s="323">
        <v>683</v>
      </c>
      <c r="AZ283" s="323">
        <v>62</v>
      </c>
      <c r="BA283" s="323">
        <v>55291</v>
      </c>
      <c r="BB283" s="331">
        <v>2</v>
      </c>
      <c r="BC283" s="330">
        <v>57</v>
      </c>
      <c r="BD283" s="330">
        <v>323</v>
      </c>
      <c r="BE283" s="330">
        <v>402</v>
      </c>
      <c r="BF283" s="330">
        <v>195</v>
      </c>
      <c r="BG283" s="330">
        <v>109</v>
      </c>
      <c r="BH283" s="330">
        <v>50</v>
      </c>
      <c r="BI283" s="330">
        <v>20</v>
      </c>
      <c r="BJ283" s="330">
        <v>3</v>
      </c>
      <c r="BK283" s="328">
        <v>1161</v>
      </c>
      <c r="BL283" s="323">
        <v>0</v>
      </c>
      <c r="BM283" s="323">
        <v>14</v>
      </c>
      <c r="BN283" s="323">
        <v>42</v>
      </c>
      <c r="BO283" s="323">
        <v>23</v>
      </c>
      <c r="BP283" s="323">
        <v>24</v>
      </c>
      <c r="BQ283" s="323">
        <v>26</v>
      </c>
      <c r="BR283" s="323">
        <v>15</v>
      </c>
      <c r="BS283" s="323">
        <v>25</v>
      </c>
      <c r="BT283" s="323">
        <v>17</v>
      </c>
      <c r="BU283" s="323">
        <v>186</v>
      </c>
      <c r="BV283" s="329" t="s">
        <v>934</v>
      </c>
      <c r="BW283" s="330">
        <v>59</v>
      </c>
      <c r="BX283" s="330">
        <v>189</v>
      </c>
      <c r="BY283" s="330">
        <v>241</v>
      </c>
      <c r="BZ283" s="330">
        <v>170</v>
      </c>
      <c r="CA283" s="330">
        <v>205</v>
      </c>
      <c r="CB283" s="330">
        <v>170</v>
      </c>
      <c r="CC283" s="330">
        <v>127</v>
      </c>
      <c r="CD283" s="330">
        <v>19</v>
      </c>
      <c r="CE283" s="328">
        <v>1180</v>
      </c>
      <c r="CF283" s="322" t="s">
        <v>934</v>
      </c>
      <c r="CG283" s="323">
        <v>0</v>
      </c>
      <c r="CH283" s="323">
        <v>0</v>
      </c>
      <c r="CI283" s="323">
        <v>0</v>
      </c>
      <c r="CJ283" s="323">
        <v>0</v>
      </c>
      <c r="CK283" s="323">
        <v>0</v>
      </c>
      <c r="CL283" s="323">
        <v>0</v>
      </c>
      <c r="CM283" s="323">
        <v>0</v>
      </c>
      <c r="CN283" s="323">
        <v>0</v>
      </c>
      <c r="CO283" s="323">
        <v>0</v>
      </c>
      <c r="CP283" s="329" t="s">
        <v>934</v>
      </c>
      <c r="CQ283" s="330">
        <v>215</v>
      </c>
      <c r="CR283" s="330">
        <v>455</v>
      </c>
      <c r="CS283" s="330">
        <v>308</v>
      </c>
      <c r="CT283" s="330">
        <v>107</v>
      </c>
      <c r="CU283" s="330">
        <v>59</v>
      </c>
      <c r="CV283" s="330">
        <v>25</v>
      </c>
      <c r="CW283" s="330">
        <v>20</v>
      </c>
      <c r="CX283" s="330">
        <v>3</v>
      </c>
      <c r="CY283" s="328">
        <v>1192</v>
      </c>
      <c r="CZ283" s="322" t="s">
        <v>934</v>
      </c>
      <c r="DA283" s="323">
        <v>0</v>
      </c>
      <c r="DB283" s="323">
        <v>0</v>
      </c>
      <c r="DC283" s="323">
        <v>0</v>
      </c>
      <c r="DD283" s="323">
        <v>0</v>
      </c>
      <c r="DE283" s="323">
        <v>0</v>
      </c>
      <c r="DF283" s="323">
        <v>0</v>
      </c>
      <c r="DG283" s="323">
        <v>0</v>
      </c>
      <c r="DH283" s="323">
        <v>0</v>
      </c>
      <c r="DI283" s="323">
        <v>0</v>
      </c>
      <c r="DJ283" s="337">
        <v>0</v>
      </c>
      <c r="DK283" s="644">
        <v>94482.3</v>
      </c>
      <c r="DL283" s="616">
        <v>12471</v>
      </c>
      <c r="DM283" s="616">
        <v>36969</v>
      </c>
      <c r="DN283" s="616">
        <v>31597</v>
      </c>
      <c r="DO283" s="616">
        <v>18559</v>
      </c>
      <c r="DP283" s="616">
        <v>11889</v>
      </c>
      <c r="DQ283" s="616">
        <v>5340</v>
      </c>
      <c r="DR283" s="616">
        <v>3793</v>
      </c>
      <c r="DS283" s="617">
        <v>498</v>
      </c>
      <c r="DT283" s="608">
        <f t="shared" si="4"/>
        <v>121116</v>
      </c>
      <c r="DU283" s="342"/>
      <c r="EC283" s="646"/>
      <c r="EF283" s="131"/>
      <c r="EG283" s="128"/>
    </row>
    <row r="284" spans="1:137" ht="15">
      <c r="A284" s="22">
        <v>276</v>
      </c>
      <c r="B284" s="23" t="s">
        <v>695</v>
      </c>
      <c r="C284" s="24" t="s">
        <v>696</v>
      </c>
      <c r="D284" s="613"/>
      <c r="E284" s="628">
        <v>344</v>
      </c>
      <c r="F284" s="628">
        <v>1622</v>
      </c>
      <c r="G284" s="628">
        <v>8001</v>
      </c>
      <c r="H284" s="628">
        <v>13764</v>
      </c>
      <c r="I284" s="628">
        <v>9690</v>
      </c>
      <c r="J284" s="628">
        <v>4469</v>
      </c>
      <c r="K284" s="628">
        <v>2014</v>
      </c>
      <c r="L284" s="628">
        <v>107</v>
      </c>
      <c r="M284" s="627">
        <v>40011</v>
      </c>
      <c r="N284" s="322"/>
      <c r="O284" s="323">
        <v>17</v>
      </c>
      <c r="P284" s="323">
        <v>67</v>
      </c>
      <c r="Q284" s="323">
        <v>236</v>
      </c>
      <c r="R284" s="323">
        <v>228</v>
      </c>
      <c r="S284" s="323">
        <v>153</v>
      </c>
      <c r="T284" s="323">
        <v>56</v>
      </c>
      <c r="U284" s="323">
        <v>25</v>
      </c>
      <c r="V284" s="323">
        <v>3</v>
      </c>
      <c r="W284" s="323">
        <v>785</v>
      </c>
      <c r="X284" s="329" t="s">
        <v>934</v>
      </c>
      <c r="Y284" s="330">
        <v>0</v>
      </c>
      <c r="Z284" s="330">
        <v>0</v>
      </c>
      <c r="AA284" s="330">
        <v>0</v>
      </c>
      <c r="AB284" s="330">
        <v>1</v>
      </c>
      <c r="AC284" s="330">
        <v>0</v>
      </c>
      <c r="AD284" s="330">
        <v>0</v>
      </c>
      <c r="AE284" s="330">
        <v>1</v>
      </c>
      <c r="AF284" s="330">
        <v>0</v>
      </c>
      <c r="AG284" s="328">
        <v>2</v>
      </c>
      <c r="AH284" s="329" t="s">
        <v>934</v>
      </c>
      <c r="AI284" s="184">
        <v>1</v>
      </c>
      <c r="AJ284" s="184">
        <v>4</v>
      </c>
      <c r="AK284" s="184">
        <v>25</v>
      </c>
      <c r="AL284" s="184">
        <v>104</v>
      </c>
      <c r="AM284" s="184">
        <v>90</v>
      </c>
      <c r="AN284" s="184">
        <v>45</v>
      </c>
      <c r="AO284" s="184">
        <v>14</v>
      </c>
      <c r="AP284" s="184">
        <v>6</v>
      </c>
      <c r="AQ284" s="336">
        <v>289</v>
      </c>
      <c r="AR284" s="323">
        <v>0</v>
      </c>
      <c r="AS284" s="323">
        <v>171</v>
      </c>
      <c r="AT284" s="323">
        <v>987</v>
      </c>
      <c r="AU284" s="323">
        <v>4067</v>
      </c>
      <c r="AV284" s="323">
        <v>4117</v>
      </c>
      <c r="AW284" s="323">
        <v>2222</v>
      </c>
      <c r="AX284" s="323">
        <v>813</v>
      </c>
      <c r="AY284" s="323">
        <v>296</v>
      </c>
      <c r="AZ284" s="323">
        <v>15</v>
      </c>
      <c r="BA284" s="323">
        <v>12688</v>
      </c>
      <c r="BB284" s="331">
        <v>0</v>
      </c>
      <c r="BC284" s="330">
        <v>1</v>
      </c>
      <c r="BD284" s="330">
        <v>5</v>
      </c>
      <c r="BE284" s="330">
        <v>50</v>
      </c>
      <c r="BF284" s="330">
        <v>100</v>
      </c>
      <c r="BG284" s="330">
        <v>74</v>
      </c>
      <c r="BH284" s="330">
        <v>26</v>
      </c>
      <c r="BI284" s="330">
        <v>18</v>
      </c>
      <c r="BJ284" s="330">
        <v>1</v>
      </c>
      <c r="BK284" s="328">
        <v>275</v>
      </c>
      <c r="BL284" s="323">
        <v>0</v>
      </c>
      <c r="BM284" s="323">
        <v>0</v>
      </c>
      <c r="BN284" s="323">
        <v>0</v>
      </c>
      <c r="BO284" s="323">
        <v>1</v>
      </c>
      <c r="BP284" s="323">
        <v>6</v>
      </c>
      <c r="BQ284" s="323">
        <v>5</v>
      </c>
      <c r="BR284" s="323">
        <v>2</v>
      </c>
      <c r="BS284" s="323">
        <v>8</v>
      </c>
      <c r="BT284" s="323">
        <v>3</v>
      </c>
      <c r="BU284" s="323">
        <v>25</v>
      </c>
      <c r="BV284" s="329" t="s">
        <v>934</v>
      </c>
      <c r="BW284" s="330">
        <v>5</v>
      </c>
      <c r="BX284" s="330">
        <v>36</v>
      </c>
      <c r="BY284" s="330">
        <v>96</v>
      </c>
      <c r="BZ284" s="330">
        <v>85</v>
      </c>
      <c r="CA284" s="330">
        <v>61</v>
      </c>
      <c r="CB284" s="330">
        <v>33</v>
      </c>
      <c r="CC284" s="330">
        <v>14</v>
      </c>
      <c r="CD284" s="330">
        <v>3</v>
      </c>
      <c r="CE284" s="328">
        <v>333</v>
      </c>
      <c r="CF284" s="322" t="s">
        <v>934</v>
      </c>
      <c r="CG284" s="323">
        <v>0</v>
      </c>
      <c r="CH284" s="323">
        <v>0</v>
      </c>
      <c r="CI284" s="323">
        <v>0</v>
      </c>
      <c r="CJ284" s="323">
        <v>0</v>
      </c>
      <c r="CK284" s="323">
        <v>0</v>
      </c>
      <c r="CL284" s="323">
        <v>0</v>
      </c>
      <c r="CM284" s="323">
        <v>0</v>
      </c>
      <c r="CN284" s="323">
        <v>0</v>
      </c>
      <c r="CO284" s="323">
        <v>0</v>
      </c>
      <c r="CP284" s="329" t="s">
        <v>934</v>
      </c>
      <c r="CQ284" s="330">
        <v>8</v>
      </c>
      <c r="CR284" s="330">
        <v>33</v>
      </c>
      <c r="CS284" s="330">
        <v>89</v>
      </c>
      <c r="CT284" s="330">
        <v>86</v>
      </c>
      <c r="CU284" s="330">
        <v>62</v>
      </c>
      <c r="CV284" s="330">
        <v>28</v>
      </c>
      <c r="CW284" s="330">
        <v>14</v>
      </c>
      <c r="CX284" s="330">
        <v>2</v>
      </c>
      <c r="CY284" s="328">
        <v>322</v>
      </c>
      <c r="CZ284" s="322" t="s">
        <v>934</v>
      </c>
      <c r="DA284" s="323">
        <v>0</v>
      </c>
      <c r="DB284" s="323">
        <v>0</v>
      </c>
      <c r="DC284" s="323">
        <v>0</v>
      </c>
      <c r="DD284" s="323">
        <v>0</v>
      </c>
      <c r="DE284" s="323">
        <v>0</v>
      </c>
      <c r="DF284" s="323">
        <v>0</v>
      </c>
      <c r="DG284" s="323">
        <v>0</v>
      </c>
      <c r="DH284" s="323">
        <v>0</v>
      </c>
      <c r="DI284" s="323">
        <v>0</v>
      </c>
      <c r="DJ284" s="337">
        <v>48.9</v>
      </c>
      <c r="DK284" s="644">
        <v>39888.3</v>
      </c>
      <c r="DL284" s="614">
        <v>344</v>
      </c>
      <c r="DM284" s="614">
        <v>1643</v>
      </c>
      <c r="DN284" s="614">
        <v>8122</v>
      </c>
      <c r="DO284" s="614">
        <v>13824</v>
      </c>
      <c r="DP284" s="614">
        <v>9677</v>
      </c>
      <c r="DQ284" s="614">
        <v>4463</v>
      </c>
      <c r="DR284" s="614">
        <v>2013</v>
      </c>
      <c r="DS284" s="615">
        <v>108</v>
      </c>
      <c r="DT284" s="607">
        <f t="shared" si="4"/>
        <v>40194</v>
      </c>
      <c r="DU284" s="342"/>
      <c r="EC284" s="646"/>
      <c r="EF284" s="126"/>
      <c r="EG284" s="124"/>
    </row>
    <row r="285" spans="1:137" ht="15">
      <c r="A285" s="22">
        <v>277</v>
      </c>
      <c r="B285" s="23" t="s">
        <v>697</v>
      </c>
      <c r="C285" s="24" t="s">
        <v>698</v>
      </c>
      <c r="D285" s="613"/>
      <c r="E285" s="629">
        <v>854</v>
      </c>
      <c r="F285" s="629">
        <v>2872</v>
      </c>
      <c r="G285" s="629">
        <v>8563</v>
      </c>
      <c r="H285" s="629">
        <v>15373</v>
      </c>
      <c r="I285" s="629">
        <v>12356</v>
      </c>
      <c r="J285" s="629">
        <v>8539</v>
      </c>
      <c r="K285" s="629">
        <v>6920</v>
      </c>
      <c r="L285" s="629">
        <v>982</v>
      </c>
      <c r="M285" s="627">
        <v>56459</v>
      </c>
      <c r="N285" s="322"/>
      <c r="O285" s="323">
        <v>43</v>
      </c>
      <c r="P285" s="323">
        <v>122</v>
      </c>
      <c r="Q285" s="323">
        <v>305</v>
      </c>
      <c r="R285" s="323">
        <v>365</v>
      </c>
      <c r="S285" s="323">
        <v>199</v>
      </c>
      <c r="T285" s="323">
        <v>118</v>
      </c>
      <c r="U285" s="323">
        <v>97</v>
      </c>
      <c r="V285" s="323">
        <v>9</v>
      </c>
      <c r="W285" s="323">
        <v>1258</v>
      </c>
      <c r="X285" s="329" t="s">
        <v>934</v>
      </c>
      <c r="Y285" s="330">
        <v>0</v>
      </c>
      <c r="Z285" s="330">
        <v>0</v>
      </c>
      <c r="AA285" s="330">
        <v>0</v>
      </c>
      <c r="AB285" s="330">
        <v>0</v>
      </c>
      <c r="AC285" s="330">
        <v>0</v>
      </c>
      <c r="AD285" s="330">
        <v>0</v>
      </c>
      <c r="AE285" s="330">
        <v>0</v>
      </c>
      <c r="AF285" s="330">
        <v>0</v>
      </c>
      <c r="AG285" s="328">
        <v>0</v>
      </c>
      <c r="AH285" s="329" t="s">
        <v>934</v>
      </c>
      <c r="AI285" s="184">
        <v>0</v>
      </c>
      <c r="AJ285" s="184">
        <v>3</v>
      </c>
      <c r="AK285" s="184">
        <v>22</v>
      </c>
      <c r="AL285" s="184">
        <v>68</v>
      </c>
      <c r="AM285" s="184">
        <v>71</v>
      </c>
      <c r="AN285" s="184">
        <v>51</v>
      </c>
      <c r="AO285" s="184">
        <v>44</v>
      </c>
      <c r="AP285" s="184">
        <v>12</v>
      </c>
      <c r="AQ285" s="336">
        <v>271</v>
      </c>
      <c r="AR285" s="323">
        <v>0</v>
      </c>
      <c r="AS285" s="323">
        <v>446</v>
      </c>
      <c r="AT285" s="323">
        <v>2011</v>
      </c>
      <c r="AU285" s="323">
        <v>4199</v>
      </c>
      <c r="AV285" s="323">
        <v>5019</v>
      </c>
      <c r="AW285" s="323">
        <v>2974</v>
      </c>
      <c r="AX285" s="323">
        <v>1440</v>
      </c>
      <c r="AY285" s="323">
        <v>803</v>
      </c>
      <c r="AZ285" s="323">
        <v>68</v>
      </c>
      <c r="BA285" s="323">
        <v>16960</v>
      </c>
      <c r="BB285" s="331">
        <v>0</v>
      </c>
      <c r="BC285" s="330">
        <v>3</v>
      </c>
      <c r="BD285" s="330">
        <v>19</v>
      </c>
      <c r="BE285" s="330">
        <v>78</v>
      </c>
      <c r="BF285" s="330">
        <v>144</v>
      </c>
      <c r="BG285" s="330">
        <v>87</v>
      </c>
      <c r="BH285" s="330">
        <v>58</v>
      </c>
      <c r="BI285" s="330">
        <v>43</v>
      </c>
      <c r="BJ285" s="330">
        <v>4</v>
      </c>
      <c r="BK285" s="328">
        <v>436</v>
      </c>
      <c r="BL285" s="323">
        <v>0</v>
      </c>
      <c r="BM285" s="323">
        <v>0</v>
      </c>
      <c r="BN285" s="323">
        <v>5</v>
      </c>
      <c r="BO285" s="323">
        <v>3</v>
      </c>
      <c r="BP285" s="323">
        <v>21</v>
      </c>
      <c r="BQ285" s="323">
        <v>19</v>
      </c>
      <c r="BR285" s="323">
        <v>19</v>
      </c>
      <c r="BS285" s="323">
        <v>36</v>
      </c>
      <c r="BT285" s="323">
        <v>30</v>
      </c>
      <c r="BU285" s="323">
        <v>133</v>
      </c>
      <c r="BV285" s="329" t="s">
        <v>934</v>
      </c>
      <c r="BW285" s="330">
        <v>12</v>
      </c>
      <c r="BX285" s="330">
        <v>23</v>
      </c>
      <c r="BY285" s="330">
        <v>91</v>
      </c>
      <c r="BZ285" s="330">
        <v>119</v>
      </c>
      <c r="CA285" s="330">
        <v>97</v>
      </c>
      <c r="CB285" s="330">
        <v>34</v>
      </c>
      <c r="CC285" s="330">
        <v>30</v>
      </c>
      <c r="CD285" s="330">
        <v>2</v>
      </c>
      <c r="CE285" s="328">
        <v>408</v>
      </c>
      <c r="CF285" s="322" t="s">
        <v>934</v>
      </c>
      <c r="CG285" s="323">
        <v>0</v>
      </c>
      <c r="CH285" s="323">
        <v>0</v>
      </c>
      <c r="CI285" s="323">
        <v>0</v>
      </c>
      <c r="CJ285" s="323">
        <v>0</v>
      </c>
      <c r="CK285" s="323">
        <v>0</v>
      </c>
      <c r="CL285" s="323">
        <v>0</v>
      </c>
      <c r="CM285" s="323">
        <v>0</v>
      </c>
      <c r="CN285" s="323">
        <v>0</v>
      </c>
      <c r="CO285" s="323">
        <v>0</v>
      </c>
      <c r="CP285" s="329" t="s">
        <v>934</v>
      </c>
      <c r="CQ285" s="330">
        <v>25</v>
      </c>
      <c r="CR285" s="330">
        <v>40</v>
      </c>
      <c r="CS285" s="330">
        <v>87</v>
      </c>
      <c r="CT285" s="330">
        <v>86</v>
      </c>
      <c r="CU285" s="330">
        <v>69</v>
      </c>
      <c r="CV285" s="330">
        <v>33</v>
      </c>
      <c r="CW285" s="330">
        <v>34</v>
      </c>
      <c r="CX285" s="330">
        <v>4</v>
      </c>
      <c r="CY285" s="328">
        <v>378</v>
      </c>
      <c r="CZ285" s="322" t="s">
        <v>934</v>
      </c>
      <c r="DA285" s="323">
        <v>0</v>
      </c>
      <c r="DB285" s="323">
        <v>0</v>
      </c>
      <c r="DC285" s="323">
        <v>0</v>
      </c>
      <c r="DD285" s="323">
        <v>0</v>
      </c>
      <c r="DE285" s="323">
        <v>0</v>
      </c>
      <c r="DF285" s="323">
        <v>0</v>
      </c>
      <c r="DG285" s="323">
        <v>0</v>
      </c>
      <c r="DH285" s="323">
        <v>0</v>
      </c>
      <c r="DI285" s="323">
        <v>0</v>
      </c>
      <c r="DJ285" s="337">
        <v>0</v>
      </c>
      <c r="DK285" s="644">
        <v>60418.3</v>
      </c>
      <c r="DL285" s="616">
        <v>865</v>
      </c>
      <c r="DM285" s="616">
        <v>2877</v>
      </c>
      <c r="DN285" s="616">
        <v>8646</v>
      </c>
      <c r="DO285" s="616">
        <v>15403</v>
      </c>
      <c r="DP285" s="616">
        <v>12387</v>
      </c>
      <c r="DQ285" s="616">
        <v>8577</v>
      </c>
      <c r="DR285" s="616">
        <v>6989</v>
      </c>
      <c r="DS285" s="617">
        <v>1005</v>
      </c>
      <c r="DT285" s="607">
        <f t="shared" si="4"/>
        <v>56749</v>
      </c>
      <c r="DU285" s="342"/>
      <c r="EC285" s="646"/>
      <c r="EF285" s="125"/>
      <c r="EG285" s="124"/>
    </row>
    <row r="286" spans="1:137" ht="15">
      <c r="A286" s="22">
        <v>278</v>
      </c>
      <c r="B286" s="23" t="s">
        <v>699</v>
      </c>
      <c r="C286" s="24" t="s">
        <v>700</v>
      </c>
      <c r="D286" s="613"/>
      <c r="E286" s="628">
        <v>4934</v>
      </c>
      <c r="F286" s="628">
        <v>16595</v>
      </c>
      <c r="G286" s="628">
        <v>8795</v>
      </c>
      <c r="H286" s="628">
        <v>6908</v>
      </c>
      <c r="I286" s="628">
        <v>4068</v>
      </c>
      <c r="J286" s="628">
        <v>1811</v>
      </c>
      <c r="K286" s="628">
        <v>1436</v>
      </c>
      <c r="L286" s="628">
        <v>119</v>
      </c>
      <c r="M286" s="627">
        <v>44666</v>
      </c>
      <c r="N286" s="322"/>
      <c r="O286" s="323">
        <v>347</v>
      </c>
      <c r="P286" s="323">
        <v>636</v>
      </c>
      <c r="Q286" s="323">
        <v>330</v>
      </c>
      <c r="R286" s="323">
        <v>222</v>
      </c>
      <c r="S286" s="323">
        <v>119</v>
      </c>
      <c r="T286" s="323">
        <v>48</v>
      </c>
      <c r="U286" s="323">
        <v>33</v>
      </c>
      <c r="V286" s="323">
        <v>7</v>
      </c>
      <c r="W286" s="323">
        <v>1742</v>
      </c>
      <c r="X286" s="329" t="s">
        <v>934</v>
      </c>
      <c r="Y286" s="330">
        <v>0</v>
      </c>
      <c r="Z286" s="330">
        <v>0</v>
      </c>
      <c r="AA286" s="330">
        <v>0</v>
      </c>
      <c r="AB286" s="330">
        <v>0</v>
      </c>
      <c r="AC286" s="330">
        <v>0</v>
      </c>
      <c r="AD286" s="330">
        <v>0</v>
      </c>
      <c r="AE286" s="330">
        <v>0</v>
      </c>
      <c r="AF286" s="330">
        <v>0</v>
      </c>
      <c r="AG286" s="328">
        <v>0</v>
      </c>
      <c r="AH286" s="329" t="s">
        <v>934</v>
      </c>
      <c r="AI286" s="184">
        <v>5</v>
      </c>
      <c r="AJ286" s="184">
        <v>90</v>
      </c>
      <c r="AK286" s="184">
        <v>60</v>
      </c>
      <c r="AL286" s="184">
        <v>62</v>
      </c>
      <c r="AM286" s="184">
        <v>37</v>
      </c>
      <c r="AN286" s="184">
        <v>23</v>
      </c>
      <c r="AO286" s="184">
        <v>14</v>
      </c>
      <c r="AP286" s="184">
        <v>13</v>
      </c>
      <c r="AQ286" s="336">
        <v>304</v>
      </c>
      <c r="AR286" s="323">
        <v>1</v>
      </c>
      <c r="AS286" s="323">
        <v>3011</v>
      </c>
      <c r="AT286" s="323">
        <v>5454</v>
      </c>
      <c r="AU286" s="323">
        <v>2237</v>
      </c>
      <c r="AV286" s="323">
        <v>1380</v>
      </c>
      <c r="AW286" s="323">
        <v>612</v>
      </c>
      <c r="AX286" s="323">
        <v>227</v>
      </c>
      <c r="AY286" s="323">
        <v>144</v>
      </c>
      <c r="AZ286" s="323">
        <v>8</v>
      </c>
      <c r="BA286" s="323">
        <v>13074</v>
      </c>
      <c r="BB286" s="331">
        <v>0</v>
      </c>
      <c r="BC286" s="330">
        <v>19</v>
      </c>
      <c r="BD286" s="330">
        <v>107</v>
      </c>
      <c r="BE286" s="330">
        <v>49</v>
      </c>
      <c r="BF286" s="330">
        <v>41</v>
      </c>
      <c r="BG286" s="330">
        <v>26</v>
      </c>
      <c r="BH286" s="330">
        <v>7</v>
      </c>
      <c r="BI286" s="330">
        <v>8</v>
      </c>
      <c r="BJ286" s="330">
        <v>0</v>
      </c>
      <c r="BK286" s="328">
        <v>257</v>
      </c>
      <c r="BL286" s="323">
        <v>0</v>
      </c>
      <c r="BM286" s="323">
        <v>2</v>
      </c>
      <c r="BN286" s="323">
        <v>11</v>
      </c>
      <c r="BO286" s="323">
        <v>7</v>
      </c>
      <c r="BP286" s="323">
        <v>7</v>
      </c>
      <c r="BQ286" s="323">
        <v>2</v>
      </c>
      <c r="BR286" s="323">
        <v>20</v>
      </c>
      <c r="BS286" s="323">
        <v>14</v>
      </c>
      <c r="BT286" s="323">
        <v>6</v>
      </c>
      <c r="BU286" s="323">
        <v>69</v>
      </c>
      <c r="BV286" s="329" t="s">
        <v>934</v>
      </c>
      <c r="BW286" s="330">
        <v>31</v>
      </c>
      <c r="BX286" s="330">
        <v>74</v>
      </c>
      <c r="BY286" s="330">
        <v>43</v>
      </c>
      <c r="BZ286" s="330">
        <v>32</v>
      </c>
      <c r="CA286" s="330">
        <v>31</v>
      </c>
      <c r="CB286" s="330">
        <v>22</v>
      </c>
      <c r="CC286" s="330">
        <v>31</v>
      </c>
      <c r="CD286" s="330">
        <v>5</v>
      </c>
      <c r="CE286" s="328">
        <v>269</v>
      </c>
      <c r="CF286" s="322" t="s">
        <v>934</v>
      </c>
      <c r="CG286" s="323">
        <v>27</v>
      </c>
      <c r="CH286" s="323">
        <v>5</v>
      </c>
      <c r="CI286" s="323">
        <v>0</v>
      </c>
      <c r="CJ286" s="323">
        <v>3</v>
      </c>
      <c r="CK286" s="323">
        <v>1</v>
      </c>
      <c r="CL286" s="323">
        <v>0</v>
      </c>
      <c r="CM286" s="323">
        <v>0</v>
      </c>
      <c r="CN286" s="323">
        <v>0</v>
      </c>
      <c r="CO286" s="323">
        <v>36</v>
      </c>
      <c r="CP286" s="329" t="s">
        <v>934</v>
      </c>
      <c r="CQ286" s="330">
        <v>23</v>
      </c>
      <c r="CR286" s="330">
        <v>46</v>
      </c>
      <c r="CS286" s="330">
        <v>33</v>
      </c>
      <c r="CT286" s="330">
        <v>18</v>
      </c>
      <c r="CU286" s="330">
        <v>10</v>
      </c>
      <c r="CV286" s="330">
        <v>1</v>
      </c>
      <c r="CW286" s="330">
        <v>4</v>
      </c>
      <c r="CX286" s="330">
        <v>0</v>
      </c>
      <c r="CY286" s="328">
        <v>135</v>
      </c>
      <c r="CZ286" s="322" t="s">
        <v>934</v>
      </c>
      <c r="DA286" s="323">
        <v>0</v>
      </c>
      <c r="DB286" s="323">
        <v>0</v>
      </c>
      <c r="DC286" s="323">
        <v>0</v>
      </c>
      <c r="DD286" s="323">
        <v>0</v>
      </c>
      <c r="DE286" s="323">
        <v>0</v>
      </c>
      <c r="DF286" s="323">
        <v>0</v>
      </c>
      <c r="DG286" s="323">
        <v>0</v>
      </c>
      <c r="DH286" s="323">
        <v>0</v>
      </c>
      <c r="DI286" s="323">
        <v>0</v>
      </c>
      <c r="DJ286" s="337">
        <v>313.6</v>
      </c>
      <c r="DK286" s="644">
        <v>36911.3</v>
      </c>
      <c r="DL286" s="614">
        <v>4985</v>
      </c>
      <c r="DM286" s="614">
        <v>16740</v>
      </c>
      <c r="DN286" s="614">
        <v>8996</v>
      </c>
      <c r="DO286" s="614">
        <v>7037</v>
      </c>
      <c r="DP286" s="614">
        <v>4154</v>
      </c>
      <c r="DQ286" s="614">
        <v>1833</v>
      </c>
      <c r="DR286" s="614">
        <v>1443</v>
      </c>
      <c r="DS286" s="615">
        <v>122</v>
      </c>
      <c r="DT286" s="607">
        <f t="shared" si="4"/>
        <v>45310</v>
      </c>
      <c r="DU286" s="342"/>
      <c r="EC286" s="646"/>
      <c r="EF286" s="126"/>
      <c r="EG286" s="124"/>
    </row>
    <row r="287" spans="1:137" ht="15">
      <c r="A287" s="22">
        <v>279</v>
      </c>
      <c r="B287" s="23" t="s">
        <v>701</v>
      </c>
      <c r="C287" s="24" t="s">
        <v>702</v>
      </c>
      <c r="D287" s="613"/>
      <c r="E287" s="629">
        <v>35716</v>
      </c>
      <c r="F287" s="629">
        <v>16329</v>
      </c>
      <c r="G287" s="629">
        <v>14303</v>
      </c>
      <c r="H287" s="629">
        <v>6210</v>
      </c>
      <c r="I287" s="629">
        <v>3043</v>
      </c>
      <c r="J287" s="629">
        <v>1472</v>
      </c>
      <c r="K287" s="629">
        <v>591</v>
      </c>
      <c r="L287" s="629">
        <v>27</v>
      </c>
      <c r="M287" s="627">
        <v>77691</v>
      </c>
      <c r="N287" s="322"/>
      <c r="O287" s="323">
        <v>1252</v>
      </c>
      <c r="P287" s="323">
        <v>362</v>
      </c>
      <c r="Q287" s="323">
        <v>211</v>
      </c>
      <c r="R287" s="323">
        <v>111</v>
      </c>
      <c r="S287" s="323">
        <v>39</v>
      </c>
      <c r="T287" s="323">
        <v>33</v>
      </c>
      <c r="U287" s="323">
        <v>6</v>
      </c>
      <c r="V287" s="323">
        <v>1</v>
      </c>
      <c r="W287" s="323">
        <v>2015</v>
      </c>
      <c r="X287" s="329" t="s">
        <v>934</v>
      </c>
      <c r="Y287" s="330">
        <v>0</v>
      </c>
      <c r="Z287" s="330">
        <v>0</v>
      </c>
      <c r="AA287" s="330">
        <v>0</v>
      </c>
      <c r="AB287" s="330">
        <v>0</v>
      </c>
      <c r="AC287" s="330">
        <v>0</v>
      </c>
      <c r="AD287" s="330">
        <v>0</v>
      </c>
      <c r="AE287" s="330">
        <v>0</v>
      </c>
      <c r="AF287" s="330">
        <v>0</v>
      </c>
      <c r="AG287" s="328">
        <v>0</v>
      </c>
      <c r="AH287" s="329" t="s">
        <v>934</v>
      </c>
      <c r="AI287" s="184">
        <v>161</v>
      </c>
      <c r="AJ287" s="184">
        <v>142</v>
      </c>
      <c r="AK287" s="184">
        <v>131</v>
      </c>
      <c r="AL287" s="184">
        <v>74</v>
      </c>
      <c r="AM287" s="184">
        <v>29</v>
      </c>
      <c r="AN287" s="184">
        <v>26</v>
      </c>
      <c r="AO287" s="184">
        <v>19</v>
      </c>
      <c r="AP287" s="184">
        <v>14</v>
      </c>
      <c r="AQ287" s="336">
        <v>596</v>
      </c>
      <c r="AR287" s="323">
        <v>31</v>
      </c>
      <c r="AS287" s="323">
        <v>16591</v>
      </c>
      <c r="AT287" s="323">
        <v>4727</v>
      </c>
      <c r="AU287" s="323">
        <v>3289</v>
      </c>
      <c r="AV287" s="323">
        <v>1099</v>
      </c>
      <c r="AW287" s="323">
        <v>456</v>
      </c>
      <c r="AX287" s="323">
        <v>208</v>
      </c>
      <c r="AY287" s="323">
        <v>66</v>
      </c>
      <c r="AZ287" s="323">
        <v>1</v>
      </c>
      <c r="BA287" s="323">
        <v>26468</v>
      </c>
      <c r="BB287" s="331">
        <v>1</v>
      </c>
      <c r="BC287" s="330">
        <v>264</v>
      </c>
      <c r="BD287" s="330">
        <v>135</v>
      </c>
      <c r="BE287" s="330">
        <v>106</v>
      </c>
      <c r="BF287" s="330">
        <v>37</v>
      </c>
      <c r="BG287" s="330">
        <v>28</v>
      </c>
      <c r="BH287" s="330">
        <v>10</v>
      </c>
      <c r="BI287" s="330">
        <v>3</v>
      </c>
      <c r="BJ287" s="330">
        <v>0</v>
      </c>
      <c r="BK287" s="328">
        <v>584</v>
      </c>
      <c r="BL287" s="323">
        <v>0</v>
      </c>
      <c r="BM287" s="323">
        <v>16</v>
      </c>
      <c r="BN287" s="323">
        <v>10</v>
      </c>
      <c r="BO287" s="323">
        <v>11</v>
      </c>
      <c r="BP287" s="323">
        <v>5</v>
      </c>
      <c r="BQ287" s="323">
        <v>8</v>
      </c>
      <c r="BR287" s="323">
        <v>17</v>
      </c>
      <c r="BS287" s="323">
        <v>16</v>
      </c>
      <c r="BT287" s="323">
        <v>3</v>
      </c>
      <c r="BU287" s="323">
        <v>86</v>
      </c>
      <c r="BV287" s="329" t="s">
        <v>934</v>
      </c>
      <c r="BW287" s="330">
        <v>198</v>
      </c>
      <c r="BX287" s="330">
        <v>83</v>
      </c>
      <c r="BY287" s="330">
        <v>50</v>
      </c>
      <c r="BZ287" s="330">
        <v>22</v>
      </c>
      <c r="CA287" s="330">
        <v>13</v>
      </c>
      <c r="CB287" s="330">
        <v>7</v>
      </c>
      <c r="CC287" s="330">
        <v>6</v>
      </c>
      <c r="CD287" s="330">
        <v>0</v>
      </c>
      <c r="CE287" s="328">
        <v>379</v>
      </c>
      <c r="CF287" s="322" t="s">
        <v>934</v>
      </c>
      <c r="CG287" s="323">
        <v>0</v>
      </c>
      <c r="CH287" s="323">
        <v>0</v>
      </c>
      <c r="CI287" s="323">
        <v>0</v>
      </c>
      <c r="CJ287" s="323">
        <v>0</v>
      </c>
      <c r="CK287" s="323">
        <v>0</v>
      </c>
      <c r="CL287" s="323">
        <v>0</v>
      </c>
      <c r="CM287" s="323">
        <v>0</v>
      </c>
      <c r="CN287" s="323">
        <v>0</v>
      </c>
      <c r="CO287" s="323">
        <v>0</v>
      </c>
      <c r="CP287" s="329" t="s">
        <v>934</v>
      </c>
      <c r="CQ287" s="330">
        <v>524</v>
      </c>
      <c r="CR287" s="330">
        <v>160</v>
      </c>
      <c r="CS287" s="330">
        <v>104</v>
      </c>
      <c r="CT287" s="330">
        <v>49</v>
      </c>
      <c r="CU287" s="330">
        <v>28</v>
      </c>
      <c r="CV287" s="330">
        <v>13</v>
      </c>
      <c r="CW287" s="330">
        <v>9</v>
      </c>
      <c r="CX287" s="330">
        <v>0</v>
      </c>
      <c r="CY287" s="328">
        <v>887</v>
      </c>
      <c r="CZ287" s="322" t="s">
        <v>934</v>
      </c>
      <c r="DA287" s="323">
        <v>0</v>
      </c>
      <c r="DB287" s="323">
        <v>0</v>
      </c>
      <c r="DC287" s="323">
        <v>0</v>
      </c>
      <c r="DD287" s="323">
        <v>0</v>
      </c>
      <c r="DE287" s="323">
        <v>0</v>
      </c>
      <c r="DF287" s="323">
        <v>0</v>
      </c>
      <c r="DG287" s="323">
        <v>0</v>
      </c>
      <c r="DH287" s="323">
        <v>0</v>
      </c>
      <c r="DI287" s="323">
        <v>0</v>
      </c>
      <c r="DJ287" s="337">
        <v>0</v>
      </c>
      <c r="DK287" s="644">
        <v>55466.7</v>
      </c>
      <c r="DL287" s="616">
        <v>35899</v>
      </c>
      <c r="DM287" s="616">
        <v>16629</v>
      </c>
      <c r="DN287" s="616">
        <v>14310</v>
      </c>
      <c r="DO287" s="616">
        <v>6277</v>
      </c>
      <c r="DP287" s="616">
        <v>3060</v>
      </c>
      <c r="DQ287" s="616">
        <v>1506</v>
      </c>
      <c r="DR287" s="616">
        <v>580</v>
      </c>
      <c r="DS287" s="617">
        <v>29</v>
      </c>
      <c r="DT287" s="607">
        <f t="shared" si="4"/>
        <v>78290</v>
      </c>
      <c r="DU287" s="342"/>
      <c r="EC287" s="646"/>
      <c r="EF287" s="130"/>
      <c r="EG287" s="124"/>
    </row>
    <row r="288" spans="1:137" ht="15">
      <c r="A288" s="22">
        <v>280</v>
      </c>
      <c r="B288" s="23" t="s">
        <v>703</v>
      </c>
      <c r="C288" s="24" t="s">
        <v>704</v>
      </c>
      <c r="D288" s="613"/>
      <c r="E288" s="628">
        <v>11646</v>
      </c>
      <c r="F288" s="628">
        <v>12422</v>
      </c>
      <c r="G288" s="628">
        <v>12173</v>
      </c>
      <c r="H288" s="628">
        <v>8395</v>
      </c>
      <c r="I288" s="628">
        <v>5487</v>
      </c>
      <c r="J288" s="628">
        <v>3034</v>
      </c>
      <c r="K288" s="628">
        <v>1486</v>
      </c>
      <c r="L288" s="628">
        <v>106</v>
      </c>
      <c r="M288" s="627">
        <v>54749</v>
      </c>
      <c r="N288" s="322"/>
      <c r="O288" s="323">
        <v>503</v>
      </c>
      <c r="P288" s="323">
        <v>563</v>
      </c>
      <c r="Q288" s="323">
        <v>231</v>
      </c>
      <c r="R288" s="323">
        <v>136</v>
      </c>
      <c r="S288" s="323">
        <v>88</v>
      </c>
      <c r="T288" s="323">
        <v>32</v>
      </c>
      <c r="U288" s="323">
        <v>26</v>
      </c>
      <c r="V288" s="323">
        <v>13</v>
      </c>
      <c r="W288" s="323">
        <v>1592</v>
      </c>
      <c r="X288" s="329" t="s">
        <v>934</v>
      </c>
      <c r="Y288" s="330">
        <v>0</v>
      </c>
      <c r="Z288" s="330">
        <v>0</v>
      </c>
      <c r="AA288" s="330">
        <v>0</v>
      </c>
      <c r="AB288" s="330">
        <v>0</v>
      </c>
      <c r="AC288" s="330">
        <v>0</v>
      </c>
      <c r="AD288" s="330">
        <v>0</v>
      </c>
      <c r="AE288" s="330">
        <v>0</v>
      </c>
      <c r="AF288" s="330">
        <v>0</v>
      </c>
      <c r="AG288" s="328">
        <v>0</v>
      </c>
      <c r="AH288" s="329" t="s">
        <v>934</v>
      </c>
      <c r="AI288" s="184">
        <v>32</v>
      </c>
      <c r="AJ288" s="184">
        <v>52</v>
      </c>
      <c r="AK288" s="184">
        <v>91</v>
      </c>
      <c r="AL288" s="184">
        <v>57</v>
      </c>
      <c r="AM288" s="184">
        <v>49</v>
      </c>
      <c r="AN288" s="184">
        <v>36</v>
      </c>
      <c r="AO288" s="184">
        <v>21</v>
      </c>
      <c r="AP288" s="184">
        <v>21</v>
      </c>
      <c r="AQ288" s="336">
        <v>359</v>
      </c>
      <c r="AR288" s="323">
        <v>9</v>
      </c>
      <c r="AS288" s="323">
        <v>5742</v>
      </c>
      <c r="AT288" s="323">
        <v>4222</v>
      </c>
      <c r="AU288" s="323">
        <v>3236</v>
      </c>
      <c r="AV288" s="323">
        <v>1639</v>
      </c>
      <c r="AW288" s="323">
        <v>868</v>
      </c>
      <c r="AX288" s="323">
        <v>377</v>
      </c>
      <c r="AY288" s="323">
        <v>147</v>
      </c>
      <c r="AZ288" s="323">
        <v>2</v>
      </c>
      <c r="BA288" s="323">
        <v>16242</v>
      </c>
      <c r="BB288" s="331">
        <v>0</v>
      </c>
      <c r="BC288" s="330">
        <v>89</v>
      </c>
      <c r="BD288" s="330">
        <v>95</v>
      </c>
      <c r="BE288" s="330">
        <v>89</v>
      </c>
      <c r="BF288" s="330">
        <v>42</v>
      </c>
      <c r="BG288" s="330">
        <v>21</v>
      </c>
      <c r="BH288" s="330">
        <v>12</v>
      </c>
      <c r="BI288" s="330">
        <v>4</v>
      </c>
      <c r="BJ288" s="330">
        <v>0</v>
      </c>
      <c r="BK288" s="328">
        <v>352</v>
      </c>
      <c r="BL288" s="323">
        <v>0</v>
      </c>
      <c r="BM288" s="323">
        <v>18</v>
      </c>
      <c r="BN288" s="323">
        <v>12</v>
      </c>
      <c r="BO288" s="323">
        <v>10</v>
      </c>
      <c r="BP288" s="323">
        <v>10</v>
      </c>
      <c r="BQ288" s="323">
        <v>12</v>
      </c>
      <c r="BR288" s="323">
        <v>14</v>
      </c>
      <c r="BS288" s="323">
        <v>23</v>
      </c>
      <c r="BT288" s="323">
        <v>9</v>
      </c>
      <c r="BU288" s="323">
        <v>108</v>
      </c>
      <c r="BV288" s="329" t="s">
        <v>934</v>
      </c>
      <c r="BW288" s="330">
        <v>25</v>
      </c>
      <c r="BX288" s="330">
        <v>29</v>
      </c>
      <c r="BY288" s="330">
        <v>21</v>
      </c>
      <c r="BZ288" s="330">
        <v>19</v>
      </c>
      <c r="CA288" s="330">
        <v>13</v>
      </c>
      <c r="CB288" s="330">
        <v>7</v>
      </c>
      <c r="CC288" s="330">
        <v>5</v>
      </c>
      <c r="CD288" s="330">
        <v>1</v>
      </c>
      <c r="CE288" s="328">
        <v>120</v>
      </c>
      <c r="CF288" s="322" t="s">
        <v>934</v>
      </c>
      <c r="CG288" s="323">
        <v>406</v>
      </c>
      <c r="CH288" s="323">
        <v>144</v>
      </c>
      <c r="CI288" s="323">
        <v>119</v>
      </c>
      <c r="CJ288" s="323">
        <v>99</v>
      </c>
      <c r="CK288" s="323">
        <v>62</v>
      </c>
      <c r="CL288" s="323">
        <v>49</v>
      </c>
      <c r="CM288" s="323">
        <v>24</v>
      </c>
      <c r="CN288" s="323">
        <v>5</v>
      </c>
      <c r="CO288" s="323">
        <v>908</v>
      </c>
      <c r="CP288" s="329" t="s">
        <v>934</v>
      </c>
      <c r="CQ288" s="330">
        <v>0</v>
      </c>
      <c r="CR288" s="330">
        <v>0</v>
      </c>
      <c r="CS288" s="330">
        <v>0</v>
      </c>
      <c r="CT288" s="330">
        <v>0</v>
      </c>
      <c r="CU288" s="330">
        <v>0</v>
      </c>
      <c r="CV288" s="330">
        <v>0</v>
      </c>
      <c r="CW288" s="330">
        <v>0</v>
      </c>
      <c r="CX288" s="330">
        <v>0</v>
      </c>
      <c r="CY288" s="328">
        <v>0</v>
      </c>
      <c r="CZ288" s="322" t="s">
        <v>934</v>
      </c>
      <c r="DA288" s="323">
        <v>0</v>
      </c>
      <c r="DB288" s="323">
        <v>0</v>
      </c>
      <c r="DC288" s="323">
        <v>0</v>
      </c>
      <c r="DD288" s="323">
        <v>0</v>
      </c>
      <c r="DE288" s="323">
        <v>0</v>
      </c>
      <c r="DF288" s="323">
        <v>0</v>
      </c>
      <c r="DG288" s="323">
        <v>0</v>
      </c>
      <c r="DH288" s="323">
        <v>0</v>
      </c>
      <c r="DI288" s="323">
        <v>0</v>
      </c>
      <c r="DJ288" s="337">
        <v>204.3</v>
      </c>
      <c r="DK288" s="644">
        <v>45266.7</v>
      </c>
      <c r="DL288" s="614">
        <v>11682</v>
      </c>
      <c r="DM288" s="614">
        <v>12534</v>
      </c>
      <c r="DN288" s="614">
        <v>12274</v>
      </c>
      <c r="DO288" s="614">
        <v>8494</v>
      </c>
      <c r="DP288" s="614">
        <v>5493</v>
      </c>
      <c r="DQ288" s="614">
        <v>3060</v>
      </c>
      <c r="DR288" s="614">
        <v>1492</v>
      </c>
      <c r="DS288" s="615">
        <v>106</v>
      </c>
      <c r="DT288" s="607">
        <f t="shared" si="4"/>
        <v>55135</v>
      </c>
      <c r="DU288" s="342"/>
      <c r="EC288" s="646"/>
      <c r="EF288" s="126"/>
      <c r="EG288" s="124"/>
    </row>
    <row r="289" spans="1:137" ht="15">
      <c r="A289" s="22">
        <v>281</v>
      </c>
      <c r="B289" s="23" t="s">
        <v>705</v>
      </c>
      <c r="C289" s="24" t="s">
        <v>706</v>
      </c>
      <c r="D289" s="613"/>
      <c r="E289" s="628">
        <v>9295</v>
      </c>
      <c r="F289" s="628">
        <v>9959</v>
      </c>
      <c r="G289" s="628">
        <v>10301</v>
      </c>
      <c r="H289" s="628">
        <v>5932</v>
      </c>
      <c r="I289" s="628">
        <v>4022</v>
      </c>
      <c r="J289" s="628">
        <v>1823</v>
      </c>
      <c r="K289" s="628">
        <v>752</v>
      </c>
      <c r="L289" s="628">
        <v>37</v>
      </c>
      <c r="M289" s="627">
        <v>42121</v>
      </c>
      <c r="N289" s="322"/>
      <c r="O289" s="323">
        <v>402</v>
      </c>
      <c r="P289" s="323">
        <v>225</v>
      </c>
      <c r="Q289" s="323">
        <v>189</v>
      </c>
      <c r="R289" s="323">
        <v>95</v>
      </c>
      <c r="S289" s="323">
        <v>60</v>
      </c>
      <c r="T289" s="323">
        <v>23</v>
      </c>
      <c r="U289" s="323">
        <v>19</v>
      </c>
      <c r="V289" s="323">
        <v>1</v>
      </c>
      <c r="W289" s="323">
        <v>1014</v>
      </c>
      <c r="X289" s="329" t="s">
        <v>934</v>
      </c>
      <c r="Y289" s="330">
        <v>0</v>
      </c>
      <c r="Z289" s="330">
        <v>0</v>
      </c>
      <c r="AA289" s="330">
        <v>0</v>
      </c>
      <c r="AB289" s="330">
        <v>0</v>
      </c>
      <c r="AC289" s="330">
        <v>0</v>
      </c>
      <c r="AD289" s="330">
        <v>0</v>
      </c>
      <c r="AE289" s="330">
        <v>0</v>
      </c>
      <c r="AF289" s="330">
        <v>0</v>
      </c>
      <c r="AG289" s="328">
        <v>0</v>
      </c>
      <c r="AH289" s="329" t="s">
        <v>934</v>
      </c>
      <c r="AI289" s="184">
        <v>25</v>
      </c>
      <c r="AJ289" s="184">
        <v>65</v>
      </c>
      <c r="AK289" s="184">
        <v>92</v>
      </c>
      <c r="AL289" s="184">
        <v>51</v>
      </c>
      <c r="AM289" s="184">
        <v>42</v>
      </c>
      <c r="AN289" s="184">
        <v>32</v>
      </c>
      <c r="AO289" s="184">
        <v>22</v>
      </c>
      <c r="AP289" s="184">
        <v>16</v>
      </c>
      <c r="AQ289" s="336">
        <v>345</v>
      </c>
      <c r="AR289" s="323">
        <v>3</v>
      </c>
      <c r="AS289" s="323">
        <v>4519</v>
      </c>
      <c r="AT289" s="323">
        <v>3249</v>
      </c>
      <c r="AU289" s="323">
        <v>2609</v>
      </c>
      <c r="AV289" s="323">
        <v>1228</v>
      </c>
      <c r="AW289" s="323">
        <v>586</v>
      </c>
      <c r="AX289" s="323">
        <v>274</v>
      </c>
      <c r="AY289" s="323">
        <v>73</v>
      </c>
      <c r="AZ289" s="323">
        <v>1</v>
      </c>
      <c r="BA289" s="323">
        <v>12542</v>
      </c>
      <c r="BB289" s="331">
        <v>1</v>
      </c>
      <c r="BC289" s="330">
        <v>72</v>
      </c>
      <c r="BD289" s="330">
        <v>76</v>
      </c>
      <c r="BE289" s="330">
        <v>66</v>
      </c>
      <c r="BF289" s="330">
        <v>36</v>
      </c>
      <c r="BG289" s="330">
        <v>24</v>
      </c>
      <c r="BH289" s="330">
        <v>14</v>
      </c>
      <c r="BI289" s="330">
        <v>2</v>
      </c>
      <c r="BJ289" s="330">
        <v>0</v>
      </c>
      <c r="BK289" s="328">
        <v>291</v>
      </c>
      <c r="BL289" s="323">
        <v>0</v>
      </c>
      <c r="BM289" s="323">
        <v>8</v>
      </c>
      <c r="BN289" s="323">
        <v>5</v>
      </c>
      <c r="BO289" s="323">
        <v>8</v>
      </c>
      <c r="BP289" s="323">
        <v>5</v>
      </c>
      <c r="BQ289" s="323">
        <v>4</v>
      </c>
      <c r="BR289" s="323">
        <v>14</v>
      </c>
      <c r="BS289" s="323">
        <v>17</v>
      </c>
      <c r="BT289" s="323">
        <v>1</v>
      </c>
      <c r="BU289" s="323">
        <v>62</v>
      </c>
      <c r="BV289" s="329" t="s">
        <v>934</v>
      </c>
      <c r="BW289" s="330">
        <v>33</v>
      </c>
      <c r="BX289" s="330">
        <v>34</v>
      </c>
      <c r="BY289" s="330">
        <v>32</v>
      </c>
      <c r="BZ289" s="330">
        <v>30</v>
      </c>
      <c r="CA289" s="330">
        <v>26</v>
      </c>
      <c r="CB289" s="330">
        <v>12</v>
      </c>
      <c r="CC289" s="330">
        <v>8</v>
      </c>
      <c r="CD289" s="330">
        <v>0</v>
      </c>
      <c r="CE289" s="328">
        <v>175</v>
      </c>
      <c r="CF289" s="322" t="s">
        <v>934</v>
      </c>
      <c r="CG289" s="323">
        <v>0</v>
      </c>
      <c r="CH289" s="323">
        <v>0</v>
      </c>
      <c r="CI289" s="323">
        <v>0</v>
      </c>
      <c r="CJ289" s="323">
        <v>0</v>
      </c>
      <c r="CK289" s="323">
        <v>0</v>
      </c>
      <c r="CL289" s="323">
        <v>0</v>
      </c>
      <c r="CM289" s="323">
        <v>0</v>
      </c>
      <c r="CN289" s="323">
        <v>0</v>
      </c>
      <c r="CO289" s="323">
        <v>0</v>
      </c>
      <c r="CP289" s="329" t="s">
        <v>934</v>
      </c>
      <c r="CQ289" s="330">
        <v>269</v>
      </c>
      <c r="CR289" s="330">
        <v>167</v>
      </c>
      <c r="CS289" s="330">
        <v>116</v>
      </c>
      <c r="CT289" s="330">
        <v>71</v>
      </c>
      <c r="CU289" s="330">
        <v>45</v>
      </c>
      <c r="CV289" s="330">
        <v>30</v>
      </c>
      <c r="CW289" s="330">
        <v>16</v>
      </c>
      <c r="CX289" s="330">
        <v>7</v>
      </c>
      <c r="CY289" s="328">
        <v>721</v>
      </c>
      <c r="CZ289" s="322" t="s">
        <v>934</v>
      </c>
      <c r="DA289" s="323">
        <v>0</v>
      </c>
      <c r="DB289" s="323">
        <v>0</v>
      </c>
      <c r="DC289" s="323">
        <v>0</v>
      </c>
      <c r="DD289" s="323">
        <v>0</v>
      </c>
      <c r="DE289" s="323">
        <v>0</v>
      </c>
      <c r="DF289" s="323">
        <v>0</v>
      </c>
      <c r="DG289" s="323">
        <v>0</v>
      </c>
      <c r="DH289" s="323">
        <v>0</v>
      </c>
      <c r="DI289" s="323">
        <v>0</v>
      </c>
      <c r="DJ289" s="337">
        <v>0</v>
      </c>
      <c r="DK289" s="644">
        <v>34242.5</v>
      </c>
      <c r="DL289" s="614">
        <v>9312</v>
      </c>
      <c r="DM289" s="614">
        <v>10076</v>
      </c>
      <c r="DN289" s="614">
        <v>10358</v>
      </c>
      <c r="DO289" s="614">
        <v>5970</v>
      </c>
      <c r="DP289" s="614">
        <v>4066</v>
      </c>
      <c r="DQ289" s="614">
        <v>1837</v>
      </c>
      <c r="DR289" s="614">
        <v>749</v>
      </c>
      <c r="DS289" s="615">
        <v>38</v>
      </c>
      <c r="DT289" s="607">
        <f t="shared" si="4"/>
        <v>42406</v>
      </c>
      <c r="DU289" s="342"/>
      <c r="EC289" s="646"/>
      <c r="EF289" s="126"/>
      <c r="EG289" s="124"/>
    </row>
    <row r="290" spans="1:137" ht="15">
      <c r="A290" s="22">
        <v>282</v>
      </c>
      <c r="B290" s="23" t="s">
        <v>707</v>
      </c>
      <c r="C290" s="24" t="s">
        <v>708</v>
      </c>
      <c r="D290" s="613"/>
      <c r="E290" s="629">
        <v>1393</v>
      </c>
      <c r="F290" s="629">
        <v>5747</v>
      </c>
      <c r="G290" s="629">
        <v>20028</v>
      </c>
      <c r="H290" s="629">
        <v>3034</v>
      </c>
      <c r="I290" s="629">
        <v>2570</v>
      </c>
      <c r="J290" s="629">
        <v>892</v>
      </c>
      <c r="K290" s="629">
        <v>408</v>
      </c>
      <c r="L290" s="629">
        <v>11</v>
      </c>
      <c r="M290" s="627">
        <v>34083</v>
      </c>
      <c r="N290" s="322"/>
      <c r="O290" s="323">
        <v>64</v>
      </c>
      <c r="P290" s="323">
        <v>280</v>
      </c>
      <c r="Q290" s="323">
        <v>301</v>
      </c>
      <c r="R290" s="323">
        <v>59</v>
      </c>
      <c r="S290" s="323">
        <v>26</v>
      </c>
      <c r="T290" s="323">
        <v>10</v>
      </c>
      <c r="U290" s="323">
        <v>10</v>
      </c>
      <c r="V290" s="323">
        <v>4</v>
      </c>
      <c r="W290" s="323">
        <v>754</v>
      </c>
      <c r="X290" s="329" t="s">
        <v>934</v>
      </c>
      <c r="Y290" s="330">
        <v>7</v>
      </c>
      <c r="Z290" s="330">
        <v>37</v>
      </c>
      <c r="AA290" s="330">
        <v>0</v>
      </c>
      <c r="AB290" s="330">
        <v>0</v>
      </c>
      <c r="AC290" s="330">
        <v>0</v>
      </c>
      <c r="AD290" s="330">
        <v>0</v>
      </c>
      <c r="AE290" s="330">
        <v>0</v>
      </c>
      <c r="AF290" s="330">
        <v>0</v>
      </c>
      <c r="AG290" s="328">
        <v>44</v>
      </c>
      <c r="AH290" s="329" t="s">
        <v>934</v>
      </c>
      <c r="AI290" s="184">
        <v>1</v>
      </c>
      <c r="AJ290" s="184">
        <v>5</v>
      </c>
      <c r="AK290" s="184">
        <v>92</v>
      </c>
      <c r="AL290" s="184">
        <v>16</v>
      </c>
      <c r="AM290" s="184">
        <v>20</v>
      </c>
      <c r="AN290" s="184">
        <v>3</v>
      </c>
      <c r="AO290" s="184">
        <v>5</v>
      </c>
      <c r="AP290" s="184">
        <v>1</v>
      </c>
      <c r="AQ290" s="336">
        <v>143</v>
      </c>
      <c r="AR290" s="323">
        <v>1</v>
      </c>
      <c r="AS290" s="323">
        <v>953</v>
      </c>
      <c r="AT290" s="323">
        <v>3482</v>
      </c>
      <c r="AU290" s="323">
        <v>5895</v>
      </c>
      <c r="AV290" s="323">
        <v>696</v>
      </c>
      <c r="AW290" s="323">
        <v>356</v>
      </c>
      <c r="AX290" s="323">
        <v>92</v>
      </c>
      <c r="AY290" s="323">
        <v>44</v>
      </c>
      <c r="AZ290" s="323">
        <v>0</v>
      </c>
      <c r="BA290" s="323">
        <v>11519</v>
      </c>
      <c r="BB290" s="331">
        <v>0</v>
      </c>
      <c r="BC290" s="330">
        <v>3</v>
      </c>
      <c r="BD290" s="330">
        <v>14</v>
      </c>
      <c r="BE290" s="330">
        <v>119</v>
      </c>
      <c r="BF290" s="330">
        <v>13</v>
      </c>
      <c r="BG290" s="330">
        <v>14</v>
      </c>
      <c r="BH290" s="330">
        <v>6</v>
      </c>
      <c r="BI290" s="330">
        <v>3</v>
      </c>
      <c r="BJ290" s="330">
        <v>0</v>
      </c>
      <c r="BK290" s="328">
        <v>172</v>
      </c>
      <c r="BL290" s="323">
        <v>0</v>
      </c>
      <c r="BM290" s="323">
        <v>4</v>
      </c>
      <c r="BN290" s="323">
        <v>19</v>
      </c>
      <c r="BO290" s="323">
        <v>19</v>
      </c>
      <c r="BP290" s="323">
        <v>6</v>
      </c>
      <c r="BQ290" s="323">
        <v>4</v>
      </c>
      <c r="BR290" s="323">
        <v>8</v>
      </c>
      <c r="BS290" s="323">
        <v>7</v>
      </c>
      <c r="BT290" s="323">
        <v>3</v>
      </c>
      <c r="BU290" s="323">
        <v>70</v>
      </c>
      <c r="BV290" s="329" t="s">
        <v>934</v>
      </c>
      <c r="BW290" s="330">
        <v>12</v>
      </c>
      <c r="BX290" s="330">
        <v>39</v>
      </c>
      <c r="BY290" s="330">
        <v>48</v>
      </c>
      <c r="BZ290" s="330">
        <v>6</v>
      </c>
      <c r="CA290" s="330">
        <v>6</v>
      </c>
      <c r="CB290" s="330">
        <v>1</v>
      </c>
      <c r="CC290" s="330">
        <v>3</v>
      </c>
      <c r="CD290" s="330">
        <v>0</v>
      </c>
      <c r="CE290" s="328">
        <v>115</v>
      </c>
      <c r="CF290" s="322" t="s">
        <v>934</v>
      </c>
      <c r="CG290" s="323">
        <v>27</v>
      </c>
      <c r="CH290" s="323">
        <v>55</v>
      </c>
      <c r="CI290" s="323">
        <v>81</v>
      </c>
      <c r="CJ290" s="323">
        <v>11</v>
      </c>
      <c r="CK290" s="323">
        <v>4</v>
      </c>
      <c r="CL290" s="323">
        <v>2</v>
      </c>
      <c r="CM290" s="323">
        <v>0</v>
      </c>
      <c r="CN290" s="323">
        <v>0</v>
      </c>
      <c r="CO290" s="323">
        <v>180</v>
      </c>
      <c r="CP290" s="329" t="s">
        <v>934</v>
      </c>
      <c r="CQ290" s="330">
        <v>0</v>
      </c>
      <c r="CR290" s="330">
        <v>0</v>
      </c>
      <c r="CS290" s="330">
        <v>0</v>
      </c>
      <c r="CT290" s="330">
        <v>0</v>
      </c>
      <c r="CU290" s="330">
        <v>0</v>
      </c>
      <c r="CV290" s="330">
        <v>0</v>
      </c>
      <c r="CW290" s="330">
        <v>0</v>
      </c>
      <c r="CX290" s="330">
        <v>0</v>
      </c>
      <c r="CY290" s="328">
        <v>0</v>
      </c>
      <c r="CZ290" s="322" t="s">
        <v>934</v>
      </c>
      <c r="DA290" s="323">
        <v>0</v>
      </c>
      <c r="DB290" s="323">
        <v>0</v>
      </c>
      <c r="DC290" s="323">
        <v>0</v>
      </c>
      <c r="DD290" s="323">
        <v>0</v>
      </c>
      <c r="DE290" s="323">
        <v>0</v>
      </c>
      <c r="DF290" s="323">
        <v>0</v>
      </c>
      <c r="DG290" s="323">
        <v>0</v>
      </c>
      <c r="DH290" s="323">
        <v>0</v>
      </c>
      <c r="DI290" s="323">
        <v>0</v>
      </c>
      <c r="DJ290" s="337">
        <v>0</v>
      </c>
      <c r="DK290" s="644">
        <v>27971.9</v>
      </c>
      <c r="DL290" s="616">
        <v>1384</v>
      </c>
      <c r="DM290" s="616">
        <v>5774</v>
      </c>
      <c r="DN290" s="616">
        <v>20273</v>
      </c>
      <c r="DO290" s="616">
        <v>3052</v>
      </c>
      <c r="DP290" s="616">
        <v>2581</v>
      </c>
      <c r="DQ290" s="616">
        <v>899</v>
      </c>
      <c r="DR290" s="616">
        <v>407</v>
      </c>
      <c r="DS290" s="617">
        <v>11</v>
      </c>
      <c r="DT290" s="607">
        <f t="shared" si="4"/>
        <v>34381</v>
      </c>
      <c r="DU290" s="342"/>
      <c r="EC290" s="646"/>
      <c r="EF290" s="125"/>
      <c r="EG290" s="124"/>
    </row>
    <row r="291" spans="1:137" ht="15">
      <c r="A291" s="22">
        <v>283</v>
      </c>
      <c r="B291" s="23" t="s">
        <v>709</v>
      </c>
      <c r="C291" s="24" t="s">
        <v>710</v>
      </c>
      <c r="D291" s="613"/>
      <c r="E291" s="626">
        <v>30498</v>
      </c>
      <c r="F291" s="626">
        <v>26333</v>
      </c>
      <c r="G291" s="626">
        <v>27207</v>
      </c>
      <c r="H291" s="626">
        <v>18520</v>
      </c>
      <c r="I291" s="626">
        <v>12361</v>
      </c>
      <c r="J291" s="626">
        <v>5856</v>
      </c>
      <c r="K291" s="626">
        <v>3192</v>
      </c>
      <c r="L291" s="626">
        <v>155</v>
      </c>
      <c r="M291" s="627">
        <v>124122</v>
      </c>
      <c r="N291" s="322"/>
      <c r="O291" s="323">
        <v>1158</v>
      </c>
      <c r="P291" s="323">
        <v>728</v>
      </c>
      <c r="Q291" s="323">
        <v>557</v>
      </c>
      <c r="R291" s="323">
        <v>303</v>
      </c>
      <c r="S291" s="323">
        <v>192</v>
      </c>
      <c r="T291" s="323">
        <v>89</v>
      </c>
      <c r="U291" s="323">
        <v>44</v>
      </c>
      <c r="V291" s="323">
        <v>3</v>
      </c>
      <c r="W291" s="323">
        <v>3074</v>
      </c>
      <c r="X291" s="329" t="s">
        <v>934</v>
      </c>
      <c r="Y291" s="330">
        <v>0</v>
      </c>
      <c r="Z291" s="330">
        <v>0</v>
      </c>
      <c r="AA291" s="330">
        <v>2</v>
      </c>
      <c r="AB291" s="330">
        <v>1</v>
      </c>
      <c r="AC291" s="330">
        <v>2</v>
      </c>
      <c r="AD291" s="330">
        <v>2</v>
      </c>
      <c r="AE291" s="330">
        <v>4</v>
      </c>
      <c r="AF291" s="330">
        <v>0</v>
      </c>
      <c r="AG291" s="328">
        <v>11</v>
      </c>
      <c r="AH291" s="329" t="s">
        <v>934</v>
      </c>
      <c r="AI291" s="184">
        <v>46</v>
      </c>
      <c r="AJ291" s="184">
        <v>105</v>
      </c>
      <c r="AK291" s="184">
        <v>150</v>
      </c>
      <c r="AL291" s="184">
        <v>143</v>
      </c>
      <c r="AM291" s="184">
        <v>127</v>
      </c>
      <c r="AN291" s="184">
        <v>61</v>
      </c>
      <c r="AO291" s="184">
        <v>59</v>
      </c>
      <c r="AP291" s="184">
        <v>33</v>
      </c>
      <c r="AQ291" s="336">
        <v>724</v>
      </c>
      <c r="AR291" s="323">
        <v>17</v>
      </c>
      <c r="AS291" s="323">
        <v>15746</v>
      </c>
      <c r="AT291" s="323">
        <v>9751</v>
      </c>
      <c r="AU291" s="323">
        <v>8071</v>
      </c>
      <c r="AV291" s="323">
        <v>4369</v>
      </c>
      <c r="AW291" s="323">
        <v>2227</v>
      </c>
      <c r="AX291" s="323">
        <v>825</v>
      </c>
      <c r="AY291" s="323">
        <v>328</v>
      </c>
      <c r="AZ291" s="323">
        <v>4</v>
      </c>
      <c r="BA291" s="323">
        <v>41338</v>
      </c>
      <c r="BB291" s="331">
        <v>2</v>
      </c>
      <c r="BC291" s="330">
        <v>183</v>
      </c>
      <c r="BD291" s="330">
        <v>223</v>
      </c>
      <c r="BE291" s="330">
        <v>246</v>
      </c>
      <c r="BF291" s="330">
        <v>178</v>
      </c>
      <c r="BG291" s="330">
        <v>116</v>
      </c>
      <c r="BH291" s="330">
        <v>45</v>
      </c>
      <c r="BI291" s="330">
        <v>19</v>
      </c>
      <c r="BJ291" s="330">
        <v>1</v>
      </c>
      <c r="BK291" s="328">
        <v>1013</v>
      </c>
      <c r="BL291" s="323">
        <v>2</v>
      </c>
      <c r="BM291" s="323">
        <v>12</v>
      </c>
      <c r="BN291" s="323">
        <v>7</v>
      </c>
      <c r="BO291" s="323">
        <v>17</v>
      </c>
      <c r="BP291" s="323">
        <v>7</v>
      </c>
      <c r="BQ291" s="323">
        <v>8</v>
      </c>
      <c r="BR291" s="323">
        <v>11</v>
      </c>
      <c r="BS291" s="323">
        <v>25</v>
      </c>
      <c r="BT291" s="323">
        <v>23</v>
      </c>
      <c r="BU291" s="323">
        <v>112</v>
      </c>
      <c r="BV291" s="329" t="s">
        <v>934</v>
      </c>
      <c r="BW291" s="330">
        <v>312</v>
      </c>
      <c r="BX291" s="330">
        <v>231</v>
      </c>
      <c r="BY291" s="330">
        <v>205</v>
      </c>
      <c r="BZ291" s="330">
        <v>94</v>
      </c>
      <c r="CA291" s="330">
        <v>73</v>
      </c>
      <c r="CB291" s="330">
        <v>28</v>
      </c>
      <c r="CC291" s="330">
        <v>26</v>
      </c>
      <c r="CD291" s="330">
        <v>3</v>
      </c>
      <c r="CE291" s="328">
        <v>972</v>
      </c>
      <c r="CF291" s="322" t="s">
        <v>934</v>
      </c>
      <c r="CG291" s="323">
        <v>469</v>
      </c>
      <c r="CH291" s="323">
        <v>265</v>
      </c>
      <c r="CI291" s="323">
        <v>192</v>
      </c>
      <c r="CJ291" s="323">
        <v>146</v>
      </c>
      <c r="CK291" s="323">
        <v>91</v>
      </c>
      <c r="CL291" s="323">
        <v>25</v>
      </c>
      <c r="CM291" s="323">
        <v>17</v>
      </c>
      <c r="CN291" s="323">
        <v>0</v>
      </c>
      <c r="CO291" s="323">
        <v>1205</v>
      </c>
      <c r="CP291" s="329" t="s">
        <v>934</v>
      </c>
      <c r="CQ291" s="330">
        <v>0</v>
      </c>
      <c r="CR291" s="330">
        <v>0</v>
      </c>
      <c r="CS291" s="330">
        <v>0</v>
      </c>
      <c r="CT291" s="330">
        <v>0</v>
      </c>
      <c r="CU291" s="330">
        <v>0</v>
      </c>
      <c r="CV291" s="330">
        <v>0</v>
      </c>
      <c r="CW291" s="330">
        <v>0</v>
      </c>
      <c r="CX291" s="330">
        <v>0</v>
      </c>
      <c r="CY291" s="328">
        <v>0</v>
      </c>
      <c r="CZ291" s="322" t="s">
        <v>934</v>
      </c>
      <c r="DA291" s="323">
        <v>0</v>
      </c>
      <c r="DB291" s="323">
        <v>0</v>
      </c>
      <c r="DC291" s="323">
        <v>0</v>
      </c>
      <c r="DD291" s="323">
        <v>0</v>
      </c>
      <c r="DE291" s="323">
        <v>0</v>
      </c>
      <c r="DF291" s="323">
        <v>0</v>
      </c>
      <c r="DG291" s="323">
        <v>0</v>
      </c>
      <c r="DH291" s="323">
        <v>0</v>
      </c>
      <c r="DI291" s="323">
        <v>0</v>
      </c>
      <c r="DJ291" s="337">
        <v>0</v>
      </c>
      <c r="DK291" s="644">
        <v>100244</v>
      </c>
      <c r="DL291" s="614">
        <v>30496</v>
      </c>
      <c r="DM291" s="614">
        <v>26519</v>
      </c>
      <c r="DN291" s="614">
        <v>27399</v>
      </c>
      <c r="DO291" s="614">
        <v>18618</v>
      </c>
      <c r="DP291" s="614">
        <v>12379</v>
      </c>
      <c r="DQ291" s="614">
        <v>5879</v>
      </c>
      <c r="DR291" s="614">
        <v>3187</v>
      </c>
      <c r="DS291" s="615">
        <v>159</v>
      </c>
      <c r="DT291" s="607">
        <f t="shared" si="4"/>
        <v>124636</v>
      </c>
      <c r="DU291" s="342"/>
      <c r="EC291" s="646"/>
      <c r="EF291" s="123"/>
      <c r="EG291" s="124"/>
    </row>
    <row r="292" spans="1:137" ht="15">
      <c r="A292" s="22">
        <v>284</v>
      </c>
      <c r="B292" s="23" t="s">
        <v>711</v>
      </c>
      <c r="C292" s="24" t="s">
        <v>712</v>
      </c>
      <c r="D292" s="613"/>
      <c r="E292" s="629">
        <v>35877</v>
      </c>
      <c r="F292" s="629">
        <v>13756</v>
      </c>
      <c r="G292" s="629">
        <v>13921</v>
      </c>
      <c r="H292" s="629">
        <v>8393</v>
      </c>
      <c r="I292" s="629">
        <v>4821</v>
      </c>
      <c r="J292" s="629">
        <v>1863</v>
      </c>
      <c r="K292" s="629">
        <v>1072</v>
      </c>
      <c r="L292" s="629">
        <v>95</v>
      </c>
      <c r="M292" s="627">
        <v>79798</v>
      </c>
      <c r="N292" s="322"/>
      <c r="O292" s="323">
        <v>1386</v>
      </c>
      <c r="P292" s="323">
        <v>337</v>
      </c>
      <c r="Q292" s="323">
        <v>285</v>
      </c>
      <c r="R292" s="323">
        <v>196</v>
      </c>
      <c r="S292" s="323">
        <v>70</v>
      </c>
      <c r="T292" s="323">
        <v>27</v>
      </c>
      <c r="U292" s="323">
        <v>15</v>
      </c>
      <c r="V292" s="323">
        <v>3</v>
      </c>
      <c r="W292" s="323">
        <v>2319</v>
      </c>
      <c r="X292" s="329" t="s">
        <v>934</v>
      </c>
      <c r="Y292" s="330">
        <v>0</v>
      </c>
      <c r="Z292" s="330">
        <v>0</v>
      </c>
      <c r="AA292" s="330">
        <v>0</v>
      </c>
      <c r="AB292" s="330">
        <v>0</v>
      </c>
      <c r="AC292" s="330">
        <v>0</v>
      </c>
      <c r="AD292" s="330">
        <v>0</v>
      </c>
      <c r="AE292" s="330">
        <v>0</v>
      </c>
      <c r="AF292" s="330">
        <v>0</v>
      </c>
      <c r="AG292" s="328">
        <v>0</v>
      </c>
      <c r="AH292" s="329" t="s">
        <v>934</v>
      </c>
      <c r="AI292" s="184">
        <v>93</v>
      </c>
      <c r="AJ292" s="184">
        <v>85</v>
      </c>
      <c r="AK292" s="184">
        <v>93</v>
      </c>
      <c r="AL292" s="184">
        <v>69</v>
      </c>
      <c r="AM292" s="184">
        <v>34</v>
      </c>
      <c r="AN292" s="184">
        <v>23</v>
      </c>
      <c r="AO292" s="184">
        <v>27</v>
      </c>
      <c r="AP292" s="184">
        <v>25</v>
      </c>
      <c r="AQ292" s="336">
        <v>449</v>
      </c>
      <c r="AR292" s="323">
        <v>22</v>
      </c>
      <c r="AS292" s="323">
        <v>16707</v>
      </c>
      <c r="AT292" s="323">
        <v>4522</v>
      </c>
      <c r="AU292" s="323">
        <v>3493</v>
      </c>
      <c r="AV292" s="323">
        <v>1471</v>
      </c>
      <c r="AW292" s="323">
        <v>654</v>
      </c>
      <c r="AX292" s="323">
        <v>217</v>
      </c>
      <c r="AY292" s="323">
        <v>95</v>
      </c>
      <c r="AZ292" s="323">
        <v>4</v>
      </c>
      <c r="BA292" s="323">
        <v>27185</v>
      </c>
      <c r="BB292" s="331">
        <v>1</v>
      </c>
      <c r="BC292" s="330">
        <v>258</v>
      </c>
      <c r="BD292" s="330">
        <v>122</v>
      </c>
      <c r="BE292" s="330">
        <v>133</v>
      </c>
      <c r="BF292" s="330">
        <v>69</v>
      </c>
      <c r="BG292" s="330">
        <v>31</v>
      </c>
      <c r="BH292" s="330">
        <v>14</v>
      </c>
      <c r="BI292" s="330">
        <v>7</v>
      </c>
      <c r="BJ292" s="330">
        <v>0</v>
      </c>
      <c r="BK292" s="328">
        <v>635</v>
      </c>
      <c r="BL292" s="323">
        <v>0</v>
      </c>
      <c r="BM292" s="323">
        <v>40</v>
      </c>
      <c r="BN292" s="323">
        <v>14</v>
      </c>
      <c r="BO292" s="323">
        <v>8</v>
      </c>
      <c r="BP292" s="323">
        <v>7</v>
      </c>
      <c r="BQ292" s="323">
        <v>5</v>
      </c>
      <c r="BR292" s="323">
        <v>17</v>
      </c>
      <c r="BS292" s="323">
        <v>29</v>
      </c>
      <c r="BT292" s="323">
        <v>5</v>
      </c>
      <c r="BU292" s="323">
        <v>125</v>
      </c>
      <c r="BV292" s="329" t="s">
        <v>934</v>
      </c>
      <c r="BW292" s="330">
        <v>142</v>
      </c>
      <c r="BX292" s="330">
        <v>44</v>
      </c>
      <c r="BY292" s="330">
        <v>38</v>
      </c>
      <c r="BZ292" s="330">
        <v>27</v>
      </c>
      <c r="CA292" s="330">
        <v>15</v>
      </c>
      <c r="CB292" s="330">
        <v>7</v>
      </c>
      <c r="CC292" s="330">
        <v>10</v>
      </c>
      <c r="CD292" s="330">
        <v>1</v>
      </c>
      <c r="CE292" s="328">
        <v>284</v>
      </c>
      <c r="CF292" s="322" t="s">
        <v>934</v>
      </c>
      <c r="CG292" s="323">
        <v>733</v>
      </c>
      <c r="CH292" s="323">
        <v>151</v>
      </c>
      <c r="CI292" s="323">
        <v>120</v>
      </c>
      <c r="CJ292" s="323">
        <v>76</v>
      </c>
      <c r="CK292" s="323">
        <v>52</v>
      </c>
      <c r="CL292" s="323">
        <v>17</v>
      </c>
      <c r="CM292" s="323">
        <v>27</v>
      </c>
      <c r="CN292" s="323">
        <v>2</v>
      </c>
      <c r="CO292" s="323">
        <v>1178</v>
      </c>
      <c r="CP292" s="329" t="s">
        <v>934</v>
      </c>
      <c r="CQ292" s="330">
        <v>0</v>
      </c>
      <c r="CR292" s="330">
        <v>0</v>
      </c>
      <c r="CS292" s="330">
        <v>0</v>
      </c>
      <c r="CT292" s="330">
        <v>0</v>
      </c>
      <c r="CU292" s="330">
        <v>0</v>
      </c>
      <c r="CV292" s="330">
        <v>0</v>
      </c>
      <c r="CW292" s="330">
        <v>0</v>
      </c>
      <c r="CX292" s="330">
        <v>0</v>
      </c>
      <c r="CY292" s="328">
        <v>0</v>
      </c>
      <c r="CZ292" s="322" t="s">
        <v>934</v>
      </c>
      <c r="DA292" s="323">
        <v>0</v>
      </c>
      <c r="DB292" s="323">
        <v>0</v>
      </c>
      <c r="DC292" s="323">
        <v>0</v>
      </c>
      <c r="DD292" s="323">
        <v>0</v>
      </c>
      <c r="DE292" s="323">
        <v>0</v>
      </c>
      <c r="DF292" s="323">
        <v>0</v>
      </c>
      <c r="DG292" s="323">
        <v>0</v>
      </c>
      <c r="DH292" s="323">
        <v>0</v>
      </c>
      <c r="DI292" s="323">
        <v>0</v>
      </c>
      <c r="DJ292" s="337">
        <v>0</v>
      </c>
      <c r="DK292" s="644">
        <v>58175.2</v>
      </c>
      <c r="DL292" s="616">
        <v>35617</v>
      </c>
      <c r="DM292" s="616">
        <v>14214</v>
      </c>
      <c r="DN292" s="616">
        <v>14036</v>
      </c>
      <c r="DO292" s="616">
        <v>8553</v>
      </c>
      <c r="DP292" s="616">
        <v>4916</v>
      </c>
      <c r="DQ292" s="616">
        <v>1935</v>
      </c>
      <c r="DR292" s="616">
        <v>1118</v>
      </c>
      <c r="DS292" s="617">
        <v>98</v>
      </c>
      <c r="DT292" s="607">
        <f t="shared" si="4"/>
        <v>80487</v>
      </c>
      <c r="DU292" s="342"/>
      <c r="EC292" s="646"/>
      <c r="EF292" s="125"/>
      <c r="EG292" s="124"/>
    </row>
    <row r="293" spans="1:137" ht="15">
      <c r="A293" s="22">
        <v>285</v>
      </c>
      <c r="B293" s="23" t="s">
        <v>713</v>
      </c>
      <c r="C293" s="24" t="s">
        <v>714</v>
      </c>
      <c r="D293" s="613"/>
      <c r="E293" s="628">
        <v>68828</v>
      </c>
      <c r="F293" s="628">
        <v>21624</v>
      </c>
      <c r="G293" s="628">
        <v>13811</v>
      </c>
      <c r="H293" s="628">
        <v>4357</v>
      </c>
      <c r="I293" s="628">
        <v>1642</v>
      </c>
      <c r="J293" s="628">
        <v>454</v>
      </c>
      <c r="K293" s="628">
        <v>104</v>
      </c>
      <c r="L293" s="628">
        <v>46</v>
      </c>
      <c r="M293" s="627">
        <v>110866</v>
      </c>
      <c r="N293" s="322"/>
      <c r="O293" s="323">
        <v>3663</v>
      </c>
      <c r="P293" s="323">
        <v>544</v>
      </c>
      <c r="Q293" s="323">
        <v>306</v>
      </c>
      <c r="R293" s="323">
        <v>69</v>
      </c>
      <c r="S293" s="323">
        <v>26</v>
      </c>
      <c r="T293" s="323">
        <v>10</v>
      </c>
      <c r="U293" s="323">
        <v>5</v>
      </c>
      <c r="V293" s="323">
        <v>12</v>
      </c>
      <c r="W293" s="323">
        <v>4635</v>
      </c>
      <c r="X293" s="329" t="s">
        <v>934</v>
      </c>
      <c r="Y293" s="330">
        <v>60</v>
      </c>
      <c r="Z293" s="330">
        <v>4</v>
      </c>
      <c r="AA293" s="330">
        <v>11</v>
      </c>
      <c r="AB293" s="330">
        <v>1</v>
      </c>
      <c r="AC293" s="330">
        <v>0</v>
      </c>
      <c r="AD293" s="330">
        <v>1</v>
      </c>
      <c r="AE293" s="330">
        <v>0</v>
      </c>
      <c r="AF293" s="330">
        <v>0</v>
      </c>
      <c r="AG293" s="328">
        <v>77</v>
      </c>
      <c r="AH293" s="329" t="s">
        <v>934</v>
      </c>
      <c r="AI293" s="184">
        <v>189</v>
      </c>
      <c r="AJ293" s="184">
        <v>108</v>
      </c>
      <c r="AK293" s="184">
        <v>104</v>
      </c>
      <c r="AL293" s="184">
        <v>34</v>
      </c>
      <c r="AM293" s="184">
        <v>31</v>
      </c>
      <c r="AN293" s="184">
        <v>15</v>
      </c>
      <c r="AO293" s="184">
        <v>27</v>
      </c>
      <c r="AP293" s="184">
        <v>18</v>
      </c>
      <c r="AQ293" s="336">
        <v>526</v>
      </c>
      <c r="AR293" s="323">
        <v>50</v>
      </c>
      <c r="AS293" s="323">
        <v>29575</v>
      </c>
      <c r="AT293" s="323">
        <v>5927</v>
      </c>
      <c r="AU293" s="323">
        <v>3214</v>
      </c>
      <c r="AV293" s="323">
        <v>688</v>
      </c>
      <c r="AW293" s="323">
        <v>185</v>
      </c>
      <c r="AX293" s="323">
        <v>40</v>
      </c>
      <c r="AY293" s="323">
        <v>5</v>
      </c>
      <c r="AZ293" s="323">
        <v>0</v>
      </c>
      <c r="BA293" s="323">
        <v>39684</v>
      </c>
      <c r="BB293" s="331">
        <v>7</v>
      </c>
      <c r="BC293" s="330">
        <v>451</v>
      </c>
      <c r="BD293" s="330">
        <v>135</v>
      </c>
      <c r="BE293" s="330">
        <v>80</v>
      </c>
      <c r="BF293" s="330">
        <v>24</v>
      </c>
      <c r="BG293" s="330">
        <v>6</v>
      </c>
      <c r="BH293" s="330">
        <v>4</v>
      </c>
      <c r="BI293" s="330">
        <v>1</v>
      </c>
      <c r="BJ293" s="330">
        <v>0</v>
      </c>
      <c r="BK293" s="328">
        <v>708</v>
      </c>
      <c r="BL293" s="323">
        <v>1</v>
      </c>
      <c r="BM293" s="323">
        <v>86</v>
      </c>
      <c r="BN293" s="323">
        <v>10</v>
      </c>
      <c r="BO293" s="323">
        <v>14</v>
      </c>
      <c r="BP293" s="323">
        <v>28</v>
      </c>
      <c r="BQ293" s="323">
        <v>22</v>
      </c>
      <c r="BR293" s="323">
        <v>33</v>
      </c>
      <c r="BS293" s="323">
        <v>25</v>
      </c>
      <c r="BT293" s="323">
        <v>3</v>
      </c>
      <c r="BU293" s="323">
        <v>222</v>
      </c>
      <c r="BV293" s="329" t="s">
        <v>934</v>
      </c>
      <c r="BW293" s="330">
        <v>311</v>
      </c>
      <c r="BX293" s="330">
        <v>70</v>
      </c>
      <c r="BY293" s="330">
        <v>20</v>
      </c>
      <c r="BZ293" s="330">
        <v>8</v>
      </c>
      <c r="CA293" s="330">
        <v>4</v>
      </c>
      <c r="CB293" s="330">
        <v>2</v>
      </c>
      <c r="CC293" s="330">
        <v>1</v>
      </c>
      <c r="CD293" s="330">
        <v>5</v>
      </c>
      <c r="CE293" s="328">
        <v>421</v>
      </c>
      <c r="CF293" s="322" t="s">
        <v>934</v>
      </c>
      <c r="CG293" s="323">
        <v>0</v>
      </c>
      <c r="CH293" s="323">
        <v>0</v>
      </c>
      <c r="CI293" s="323">
        <v>0</v>
      </c>
      <c r="CJ293" s="323">
        <v>0</v>
      </c>
      <c r="CK293" s="323">
        <v>0</v>
      </c>
      <c r="CL293" s="323">
        <v>0</v>
      </c>
      <c r="CM293" s="323">
        <v>0</v>
      </c>
      <c r="CN293" s="323">
        <v>0</v>
      </c>
      <c r="CO293" s="323">
        <v>0</v>
      </c>
      <c r="CP293" s="329" t="s">
        <v>934</v>
      </c>
      <c r="CQ293" s="330">
        <v>1664</v>
      </c>
      <c r="CR293" s="330">
        <v>210</v>
      </c>
      <c r="CS293" s="330">
        <v>102</v>
      </c>
      <c r="CT293" s="330">
        <v>29</v>
      </c>
      <c r="CU293" s="330">
        <v>11</v>
      </c>
      <c r="CV293" s="330">
        <v>2</v>
      </c>
      <c r="CW293" s="330">
        <v>1</v>
      </c>
      <c r="CX293" s="330">
        <v>2</v>
      </c>
      <c r="CY293" s="328">
        <v>2021</v>
      </c>
      <c r="CZ293" s="322" t="s">
        <v>934</v>
      </c>
      <c r="DA293" s="323">
        <v>0</v>
      </c>
      <c r="DB293" s="323">
        <v>0</v>
      </c>
      <c r="DC293" s="323">
        <v>0</v>
      </c>
      <c r="DD293" s="323">
        <v>0</v>
      </c>
      <c r="DE293" s="323">
        <v>0</v>
      </c>
      <c r="DF293" s="323">
        <v>0</v>
      </c>
      <c r="DG293" s="323">
        <v>0</v>
      </c>
      <c r="DH293" s="323">
        <v>0</v>
      </c>
      <c r="DI293" s="323">
        <v>0</v>
      </c>
      <c r="DJ293" s="337">
        <v>0</v>
      </c>
      <c r="DK293" s="644">
        <v>71409.5</v>
      </c>
      <c r="DL293" s="614">
        <v>69221</v>
      </c>
      <c r="DM293" s="614">
        <v>21875</v>
      </c>
      <c r="DN293" s="614">
        <v>14040</v>
      </c>
      <c r="DO293" s="614">
        <v>4392</v>
      </c>
      <c r="DP293" s="614">
        <v>1660</v>
      </c>
      <c r="DQ293" s="614">
        <v>456</v>
      </c>
      <c r="DR293" s="614">
        <v>105</v>
      </c>
      <c r="DS293" s="615">
        <v>47</v>
      </c>
      <c r="DT293" s="607">
        <f t="shared" si="4"/>
        <v>111796</v>
      </c>
      <c r="DU293" s="342"/>
      <c r="EC293" s="646"/>
      <c r="EF293" s="126"/>
      <c r="EG293" s="124"/>
    </row>
    <row r="294" spans="1:137" ht="15">
      <c r="A294" s="22">
        <v>286</v>
      </c>
      <c r="B294" s="23" t="s">
        <v>715</v>
      </c>
      <c r="C294" s="24" t="s">
        <v>716</v>
      </c>
      <c r="D294" s="613"/>
      <c r="E294" s="634">
        <v>3089</v>
      </c>
      <c r="F294" s="634">
        <v>7307</v>
      </c>
      <c r="G294" s="634">
        <v>14744</v>
      </c>
      <c r="H294" s="634">
        <v>8923</v>
      </c>
      <c r="I294" s="634">
        <v>8368</v>
      </c>
      <c r="J294" s="634">
        <v>4906</v>
      </c>
      <c r="K294" s="634">
        <v>4529</v>
      </c>
      <c r="L294" s="634">
        <v>747</v>
      </c>
      <c r="M294" s="635">
        <v>52613</v>
      </c>
      <c r="N294" s="322"/>
      <c r="O294" s="323">
        <v>128</v>
      </c>
      <c r="P294" s="323">
        <v>263</v>
      </c>
      <c r="Q294" s="323">
        <v>253</v>
      </c>
      <c r="R294" s="323">
        <v>162</v>
      </c>
      <c r="S294" s="323">
        <v>96</v>
      </c>
      <c r="T294" s="323">
        <v>50</v>
      </c>
      <c r="U294" s="323">
        <v>35</v>
      </c>
      <c r="V294" s="323">
        <v>12</v>
      </c>
      <c r="W294" s="323">
        <v>999</v>
      </c>
      <c r="X294" s="329" t="s">
        <v>934</v>
      </c>
      <c r="Y294" s="330">
        <v>0</v>
      </c>
      <c r="Z294" s="330">
        <v>0</v>
      </c>
      <c r="AA294" s="330">
        <v>0</v>
      </c>
      <c r="AB294" s="330">
        <v>0</v>
      </c>
      <c r="AC294" s="330">
        <v>0</v>
      </c>
      <c r="AD294" s="330">
        <v>0</v>
      </c>
      <c r="AE294" s="330">
        <v>0</v>
      </c>
      <c r="AF294" s="330">
        <v>0</v>
      </c>
      <c r="AG294" s="328">
        <v>0</v>
      </c>
      <c r="AH294" s="329" t="s">
        <v>934</v>
      </c>
      <c r="AI294" s="184">
        <v>12</v>
      </c>
      <c r="AJ294" s="184">
        <v>61</v>
      </c>
      <c r="AK294" s="184">
        <v>122</v>
      </c>
      <c r="AL294" s="184">
        <v>89</v>
      </c>
      <c r="AM294" s="184">
        <v>74</v>
      </c>
      <c r="AN294" s="184">
        <v>44</v>
      </c>
      <c r="AO294" s="184">
        <v>51</v>
      </c>
      <c r="AP294" s="184">
        <v>16</v>
      </c>
      <c r="AQ294" s="336">
        <v>469</v>
      </c>
      <c r="AR294" s="323">
        <v>3</v>
      </c>
      <c r="AS294" s="323">
        <v>1556</v>
      </c>
      <c r="AT294" s="323">
        <v>3202</v>
      </c>
      <c r="AU294" s="323">
        <v>4959</v>
      </c>
      <c r="AV294" s="323">
        <v>2605</v>
      </c>
      <c r="AW294" s="323">
        <v>1814</v>
      </c>
      <c r="AX294" s="323">
        <v>829</v>
      </c>
      <c r="AY294" s="323">
        <v>588</v>
      </c>
      <c r="AZ294" s="323">
        <v>92</v>
      </c>
      <c r="BA294" s="323">
        <v>15648</v>
      </c>
      <c r="BB294" s="331">
        <v>0</v>
      </c>
      <c r="BC294" s="330">
        <v>12</v>
      </c>
      <c r="BD294" s="330">
        <v>43</v>
      </c>
      <c r="BE294" s="330">
        <v>87</v>
      </c>
      <c r="BF294" s="330">
        <v>60</v>
      </c>
      <c r="BG294" s="330">
        <v>47</v>
      </c>
      <c r="BH294" s="330">
        <v>24</v>
      </c>
      <c r="BI294" s="330">
        <v>26</v>
      </c>
      <c r="BJ294" s="330">
        <v>2</v>
      </c>
      <c r="BK294" s="328">
        <v>301</v>
      </c>
      <c r="BL294" s="323">
        <v>0</v>
      </c>
      <c r="BM294" s="323">
        <v>2</v>
      </c>
      <c r="BN294" s="323">
        <v>3</v>
      </c>
      <c r="BO294" s="323">
        <v>7</v>
      </c>
      <c r="BP294" s="323">
        <v>4</v>
      </c>
      <c r="BQ294" s="323">
        <v>8</v>
      </c>
      <c r="BR294" s="323">
        <v>14</v>
      </c>
      <c r="BS294" s="323">
        <v>12</v>
      </c>
      <c r="BT294" s="323">
        <v>5</v>
      </c>
      <c r="BU294" s="323">
        <v>55</v>
      </c>
      <c r="BV294" s="329" t="s">
        <v>934</v>
      </c>
      <c r="BW294" s="330">
        <v>78</v>
      </c>
      <c r="BX294" s="330">
        <v>80</v>
      </c>
      <c r="BY294" s="330">
        <v>222</v>
      </c>
      <c r="BZ294" s="330">
        <v>162</v>
      </c>
      <c r="CA294" s="330">
        <v>123</v>
      </c>
      <c r="CB294" s="330">
        <v>73</v>
      </c>
      <c r="CC294" s="330">
        <v>69</v>
      </c>
      <c r="CD294" s="330">
        <v>23</v>
      </c>
      <c r="CE294" s="328">
        <v>830</v>
      </c>
      <c r="CF294" s="322" t="s">
        <v>934</v>
      </c>
      <c r="CG294" s="323">
        <v>0</v>
      </c>
      <c r="CH294" s="323">
        <v>0</v>
      </c>
      <c r="CI294" s="323">
        <v>0</v>
      </c>
      <c r="CJ294" s="323">
        <v>0</v>
      </c>
      <c r="CK294" s="323">
        <v>0</v>
      </c>
      <c r="CL294" s="323">
        <v>0</v>
      </c>
      <c r="CM294" s="323">
        <v>0</v>
      </c>
      <c r="CN294" s="323">
        <v>0</v>
      </c>
      <c r="CO294" s="323">
        <v>0</v>
      </c>
      <c r="CP294" s="329" t="s">
        <v>934</v>
      </c>
      <c r="CQ294" s="330">
        <v>180</v>
      </c>
      <c r="CR294" s="330">
        <v>210</v>
      </c>
      <c r="CS294" s="330">
        <v>297</v>
      </c>
      <c r="CT294" s="330">
        <v>191</v>
      </c>
      <c r="CU294" s="330">
        <v>153</v>
      </c>
      <c r="CV294" s="330">
        <v>92</v>
      </c>
      <c r="CW294" s="330">
        <v>54</v>
      </c>
      <c r="CX294" s="330">
        <v>13</v>
      </c>
      <c r="CY294" s="328">
        <v>1190</v>
      </c>
      <c r="CZ294" s="322" t="s">
        <v>934</v>
      </c>
      <c r="DA294" s="323">
        <v>0</v>
      </c>
      <c r="DB294" s="323">
        <v>0</v>
      </c>
      <c r="DC294" s="323">
        <v>0</v>
      </c>
      <c r="DD294" s="323">
        <v>0</v>
      </c>
      <c r="DE294" s="323">
        <v>0</v>
      </c>
      <c r="DF294" s="323">
        <v>0</v>
      </c>
      <c r="DG294" s="323">
        <v>0</v>
      </c>
      <c r="DH294" s="323">
        <v>0</v>
      </c>
      <c r="DI294" s="323">
        <v>0</v>
      </c>
      <c r="DJ294" s="337">
        <v>75</v>
      </c>
      <c r="DK294" s="644">
        <v>50834.8</v>
      </c>
      <c r="DL294" s="618">
        <v>3119</v>
      </c>
      <c r="DM294" s="618">
        <v>7337</v>
      </c>
      <c r="DN294" s="618">
        <v>14960</v>
      </c>
      <c r="DO294" s="618">
        <v>9013</v>
      </c>
      <c r="DP294" s="618">
        <v>8458</v>
      </c>
      <c r="DQ294" s="618">
        <v>4944</v>
      </c>
      <c r="DR294" s="618">
        <v>4586</v>
      </c>
      <c r="DS294" s="619">
        <v>752</v>
      </c>
      <c r="DT294" s="609">
        <f t="shared" si="4"/>
        <v>53169</v>
      </c>
      <c r="DU294" s="342"/>
      <c r="EC294" s="646"/>
      <c r="EF294" s="129"/>
      <c r="EG294" s="124"/>
    </row>
    <row r="295" spans="1:137" ht="15">
      <c r="A295" s="22">
        <v>287</v>
      </c>
      <c r="B295" s="23" t="s">
        <v>717</v>
      </c>
      <c r="C295" s="24" t="s">
        <v>718</v>
      </c>
      <c r="D295" s="613"/>
      <c r="E295" s="626">
        <v>6623</v>
      </c>
      <c r="F295" s="626">
        <v>11178</v>
      </c>
      <c r="G295" s="626">
        <v>10884</v>
      </c>
      <c r="H295" s="626">
        <v>7202</v>
      </c>
      <c r="I295" s="626">
        <v>5861</v>
      </c>
      <c r="J295" s="626">
        <v>3544</v>
      </c>
      <c r="K295" s="626">
        <v>2458</v>
      </c>
      <c r="L295" s="626">
        <v>229</v>
      </c>
      <c r="M295" s="631">
        <v>47979</v>
      </c>
      <c r="N295" s="322"/>
      <c r="O295" s="323">
        <v>158</v>
      </c>
      <c r="P295" s="323">
        <v>176</v>
      </c>
      <c r="Q295" s="323">
        <v>159</v>
      </c>
      <c r="R295" s="323">
        <v>109</v>
      </c>
      <c r="S295" s="323">
        <v>88</v>
      </c>
      <c r="T295" s="323">
        <v>32</v>
      </c>
      <c r="U295" s="323">
        <v>34</v>
      </c>
      <c r="V295" s="323">
        <v>3</v>
      </c>
      <c r="W295" s="323">
        <v>759</v>
      </c>
      <c r="X295" s="329" t="s">
        <v>934</v>
      </c>
      <c r="Y295" s="330">
        <v>0</v>
      </c>
      <c r="Z295" s="330">
        <v>0</v>
      </c>
      <c r="AA295" s="330">
        <v>0</v>
      </c>
      <c r="AB295" s="330">
        <v>0</v>
      </c>
      <c r="AC295" s="330">
        <v>0</v>
      </c>
      <c r="AD295" s="330">
        <v>0</v>
      </c>
      <c r="AE295" s="330">
        <v>0</v>
      </c>
      <c r="AF295" s="330">
        <v>0</v>
      </c>
      <c r="AG295" s="328">
        <v>0</v>
      </c>
      <c r="AH295" s="329" t="s">
        <v>934</v>
      </c>
      <c r="AI295" s="184">
        <v>20</v>
      </c>
      <c r="AJ295" s="184">
        <v>55</v>
      </c>
      <c r="AK295" s="184">
        <v>62</v>
      </c>
      <c r="AL295" s="184">
        <v>47</v>
      </c>
      <c r="AM295" s="184">
        <v>49</v>
      </c>
      <c r="AN295" s="184">
        <v>32</v>
      </c>
      <c r="AO295" s="184">
        <v>29</v>
      </c>
      <c r="AP295" s="184">
        <v>7</v>
      </c>
      <c r="AQ295" s="336">
        <v>301</v>
      </c>
      <c r="AR295" s="323">
        <v>6</v>
      </c>
      <c r="AS295" s="323">
        <v>3785</v>
      </c>
      <c r="AT295" s="323">
        <v>4174</v>
      </c>
      <c r="AU295" s="323">
        <v>3136</v>
      </c>
      <c r="AV295" s="323">
        <v>1738</v>
      </c>
      <c r="AW295" s="323">
        <v>1049</v>
      </c>
      <c r="AX295" s="323">
        <v>548</v>
      </c>
      <c r="AY295" s="323">
        <v>307</v>
      </c>
      <c r="AZ295" s="323">
        <v>24</v>
      </c>
      <c r="BA295" s="323">
        <v>14767</v>
      </c>
      <c r="BB295" s="331">
        <v>0</v>
      </c>
      <c r="BC295" s="330">
        <v>30</v>
      </c>
      <c r="BD295" s="330">
        <v>68</v>
      </c>
      <c r="BE295" s="330">
        <v>66</v>
      </c>
      <c r="BF295" s="330">
        <v>44</v>
      </c>
      <c r="BG295" s="330">
        <v>32</v>
      </c>
      <c r="BH295" s="330">
        <v>12</v>
      </c>
      <c r="BI295" s="330">
        <v>10</v>
      </c>
      <c r="BJ295" s="330">
        <v>1</v>
      </c>
      <c r="BK295" s="328">
        <v>263</v>
      </c>
      <c r="BL295" s="323">
        <v>0</v>
      </c>
      <c r="BM295" s="323">
        <v>7</v>
      </c>
      <c r="BN295" s="323">
        <v>5</v>
      </c>
      <c r="BO295" s="323">
        <v>10</v>
      </c>
      <c r="BP295" s="323">
        <v>11</v>
      </c>
      <c r="BQ295" s="323">
        <v>12</v>
      </c>
      <c r="BR295" s="323">
        <v>23</v>
      </c>
      <c r="BS295" s="323">
        <v>12</v>
      </c>
      <c r="BT295" s="323">
        <v>4</v>
      </c>
      <c r="BU295" s="323">
        <v>84</v>
      </c>
      <c r="BV295" s="329" t="s">
        <v>934</v>
      </c>
      <c r="BW295" s="330">
        <v>41</v>
      </c>
      <c r="BX295" s="330">
        <v>50</v>
      </c>
      <c r="BY295" s="330">
        <v>72</v>
      </c>
      <c r="BZ295" s="330">
        <v>62</v>
      </c>
      <c r="CA295" s="330">
        <v>58</v>
      </c>
      <c r="CB295" s="330">
        <v>33</v>
      </c>
      <c r="CC295" s="330">
        <v>39</v>
      </c>
      <c r="CD295" s="330">
        <v>12</v>
      </c>
      <c r="CE295" s="328">
        <v>367</v>
      </c>
      <c r="CF295" s="322" t="s">
        <v>934</v>
      </c>
      <c r="CG295" s="323">
        <v>0</v>
      </c>
      <c r="CH295" s="323">
        <v>0</v>
      </c>
      <c r="CI295" s="323">
        <v>0</v>
      </c>
      <c r="CJ295" s="323">
        <v>0</v>
      </c>
      <c r="CK295" s="323">
        <v>0</v>
      </c>
      <c r="CL295" s="323">
        <v>0</v>
      </c>
      <c r="CM295" s="323">
        <v>0</v>
      </c>
      <c r="CN295" s="323">
        <v>0</v>
      </c>
      <c r="CO295" s="323">
        <v>0</v>
      </c>
      <c r="CP295" s="329" t="s">
        <v>934</v>
      </c>
      <c r="CQ295" s="330">
        <v>0</v>
      </c>
      <c r="CR295" s="330">
        <v>0</v>
      </c>
      <c r="CS295" s="330">
        <v>0</v>
      </c>
      <c r="CT295" s="330">
        <v>0</v>
      </c>
      <c r="CU295" s="330">
        <v>0</v>
      </c>
      <c r="CV295" s="330">
        <v>0</v>
      </c>
      <c r="CW295" s="330">
        <v>0</v>
      </c>
      <c r="CX295" s="330">
        <v>0</v>
      </c>
      <c r="CY295" s="328">
        <v>0</v>
      </c>
      <c r="CZ295" s="322" t="s">
        <v>934</v>
      </c>
      <c r="DA295" s="323">
        <v>89</v>
      </c>
      <c r="DB295" s="323">
        <v>73</v>
      </c>
      <c r="DC295" s="323">
        <v>68</v>
      </c>
      <c r="DD295" s="323">
        <v>74</v>
      </c>
      <c r="DE295" s="323">
        <v>50</v>
      </c>
      <c r="DF295" s="323">
        <v>28</v>
      </c>
      <c r="DG295" s="323">
        <v>17</v>
      </c>
      <c r="DH295" s="323">
        <v>7</v>
      </c>
      <c r="DI295" s="323">
        <v>406</v>
      </c>
      <c r="DJ295" s="337">
        <v>0</v>
      </c>
      <c r="DK295" s="644">
        <v>42479.9</v>
      </c>
      <c r="DL295" s="614">
        <v>6737</v>
      </c>
      <c r="DM295" s="614">
        <v>11199</v>
      </c>
      <c r="DN295" s="614">
        <v>10969</v>
      </c>
      <c r="DO295" s="614">
        <v>7277</v>
      </c>
      <c r="DP295" s="614">
        <v>5886</v>
      </c>
      <c r="DQ295" s="614">
        <v>3559</v>
      </c>
      <c r="DR295" s="614">
        <v>2453</v>
      </c>
      <c r="DS295" s="615">
        <v>229</v>
      </c>
      <c r="DT295" s="607">
        <f t="shared" si="4"/>
        <v>48309</v>
      </c>
      <c r="DU295" s="342"/>
      <c r="EC295" s="646"/>
      <c r="EF295" s="123"/>
      <c r="EG295" s="124"/>
    </row>
    <row r="296" spans="1:137" ht="15">
      <c r="A296" s="22">
        <v>288</v>
      </c>
      <c r="B296" s="23" t="s">
        <v>719</v>
      </c>
      <c r="C296" s="24" t="s">
        <v>720</v>
      </c>
      <c r="D296" s="613"/>
      <c r="E296" s="628">
        <v>7370</v>
      </c>
      <c r="F296" s="628">
        <v>13936</v>
      </c>
      <c r="G296" s="628">
        <v>11040</v>
      </c>
      <c r="H296" s="628">
        <v>10492</v>
      </c>
      <c r="I296" s="628">
        <v>7156</v>
      </c>
      <c r="J296" s="628">
        <v>3763</v>
      </c>
      <c r="K296" s="628">
        <v>2119</v>
      </c>
      <c r="L296" s="628">
        <v>162</v>
      </c>
      <c r="M296" s="627">
        <v>56038</v>
      </c>
      <c r="N296" s="322"/>
      <c r="O296" s="323">
        <v>393</v>
      </c>
      <c r="P296" s="323">
        <v>462</v>
      </c>
      <c r="Q296" s="323">
        <v>423</v>
      </c>
      <c r="R296" s="323">
        <v>202</v>
      </c>
      <c r="S296" s="323">
        <v>111</v>
      </c>
      <c r="T296" s="323">
        <v>57</v>
      </c>
      <c r="U296" s="323">
        <v>34</v>
      </c>
      <c r="V296" s="323">
        <v>6</v>
      </c>
      <c r="W296" s="323">
        <v>1688</v>
      </c>
      <c r="X296" s="329" t="s">
        <v>934</v>
      </c>
      <c r="Y296" s="330">
        <v>0</v>
      </c>
      <c r="Z296" s="330">
        <v>1</v>
      </c>
      <c r="AA296" s="330">
        <v>0</v>
      </c>
      <c r="AB296" s="330">
        <v>0</v>
      </c>
      <c r="AC296" s="330">
        <v>0</v>
      </c>
      <c r="AD296" s="330">
        <v>0</v>
      </c>
      <c r="AE296" s="330">
        <v>2</v>
      </c>
      <c r="AF296" s="330">
        <v>0</v>
      </c>
      <c r="AG296" s="328">
        <v>3</v>
      </c>
      <c r="AH296" s="329" t="s">
        <v>934</v>
      </c>
      <c r="AI296" s="184">
        <v>25</v>
      </c>
      <c r="AJ296" s="184">
        <v>85</v>
      </c>
      <c r="AK296" s="184">
        <v>81</v>
      </c>
      <c r="AL296" s="184">
        <v>105</v>
      </c>
      <c r="AM296" s="184">
        <v>90</v>
      </c>
      <c r="AN296" s="184">
        <v>36</v>
      </c>
      <c r="AO296" s="184">
        <v>34</v>
      </c>
      <c r="AP296" s="184">
        <v>16</v>
      </c>
      <c r="AQ296" s="336">
        <v>472</v>
      </c>
      <c r="AR296" s="323">
        <v>11</v>
      </c>
      <c r="AS296" s="323">
        <v>3975</v>
      </c>
      <c r="AT296" s="323">
        <v>5203</v>
      </c>
      <c r="AU296" s="323">
        <v>3265</v>
      </c>
      <c r="AV296" s="323">
        <v>2499</v>
      </c>
      <c r="AW296" s="323">
        <v>1258</v>
      </c>
      <c r="AX296" s="323">
        <v>600</v>
      </c>
      <c r="AY296" s="323">
        <v>267</v>
      </c>
      <c r="AZ296" s="323">
        <v>10</v>
      </c>
      <c r="BA296" s="323">
        <v>17088</v>
      </c>
      <c r="BB296" s="331">
        <v>0</v>
      </c>
      <c r="BC296" s="330">
        <v>13</v>
      </c>
      <c r="BD296" s="330">
        <v>59</v>
      </c>
      <c r="BE296" s="330">
        <v>55</v>
      </c>
      <c r="BF296" s="330">
        <v>43</v>
      </c>
      <c r="BG296" s="330">
        <v>43</v>
      </c>
      <c r="BH296" s="330">
        <v>21</v>
      </c>
      <c r="BI296" s="330">
        <v>8</v>
      </c>
      <c r="BJ296" s="330">
        <v>1</v>
      </c>
      <c r="BK296" s="328">
        <v>243</v>
      </c>
      <c r="BL296" s="323">
        <v>0</v>
      </c>
      <c r="BM296" s="323">
        <v>2</v>
      </c>
      <c r="BN296" s="323">
        <v>6</v>
      </c>
      <c r="BO296" s="323">
        <v>7</v>
      </c>
      <c r="BP296" s="323">
        <v>7</v>
      </c>
      <c r="BQ296" s="323">
        <v>5</v>
      </c>
      <c r="BR296" s="323">
        <v>20</v>
      </c>
      <c r="BS296" s="323">
        <v>13</v>
      </c>
      <c r="BT296" s="323">
        <v>3</v>
      </c>
      <c r="BU296" s="323">
        <v>63</v>
      </c>
      <c r="BV296" s="329" t="s">
        <v>934</v>
      </c>
      <c r="BW296" s="330">
        <v>273</v>
      </c>
      <c r="BX296" s="330">
        <v>428</v>
      </c>
      <c r="BY296" s="330">
        <v>478</v>
      </c>
      <c r="BZ296" s="330">
        <v>498</v>
      </c>
      <c r="CA296" s="330">
        <v>354</v>
      </c>
      <c r="CB296" s="330">
        <v>208</v>
      </c>
      <c r="CC296" s="330">
        <v>194</v>
      </c>
      <c r="CD296" s="330">
        <v>17</v>
      </c>
      <c r="CE296" s="328">
        <v>2450</v>
      </c>
      <c r="CF296" s="322" t="s">
        <v>934</v>
      </c>
      <c r="CG296" s="323">
        <v>0</v>
      </c>
      <c r="CH296" s="323">
        <v>0</v>
      </c>
      <c r="CI296" s="323">
        <v>0</v>
      </c>
      <c r="CJ296" s="323">
        <v>0</v>
      </c>
      <c r="CK296" s="323">
        <v>0</v>
      </c>
      <c r="CL296" s="323">
        <v>0</v>
      </c>
      <c r="CM296" s="323">
        <v>0</v>
      </c>
      <c r="CN296" s="323">
        <v>0</v>
      </c>
      <c r="CO296" s="323">
        <v>0</v>
      </c>
      <c r="CP296" s="329" t="s">
        <v>934</v>
      </c>
      <c r="CQ296" s="330">
        <v>199</v>
      </c>
      <c r="CR296" s="330">
        <v>161</v>
      </c>
      <c r="CS296" s="330">
        <v>134</v>
      </c>
      <c r="CT296" s="330">
        <v>105</v>
      </c>
      <c r="CU296" s="330">
        <v>48</v>
      </c>
      <c r="CV296" s="330">
        <v>31</v>
      </c>
      <c r="CW296" s="330">
        <v>19</v>
      </c>
      <c r="CX296" s="330">
        <v>4</v>
      </c>
      <c r="CY296" s="328">
        <v>701</v>
      </c>
      <c r="CZ296" s="322" t="s">
        <v>934</v>
      </c>
      <c r="DA296" s="323">
        <v>0</v>
      </c>
      <c r="DB296" s="323">
        <v>0</v>
      </c>
      <c r="DC296" s="323">
        <v>0</v>
      </c>
      <c r="DD296" s="323">
        <v>0</v>
      </c>
      <c r="DE296" s="323">
        <v>0</v>
      </c>
      <c r="DF296" s="323">
        <v>0</v>
      </c>
      <c r="DG296" s="323">
        <v>0</v>
      </c>
      <c r="DH296" s="323">
        <v>0</v>
      </c>
      <c r="DI296" s="323">
        <v>0</v>
      </c>
      <c r="DJ296" s="337">
        <v>107.3</v>
      </c>
      <c r="DK296" s="644">
        <v>47528.9</v>
      </c>
      <c r="DL296" s="614">
        <v>7444</v>
      </c>
      <c r="DM296" s="614">
        <v>14156</v>
      </c>
      <c r="DN296" s="614">
        <v>11245</v>
      </c>
      <c r="DO296" s="614">
        <v>10642</v>
      </c>
      <c r="DP296" s="614">
        <v>7292</v>
      </c>
      <c r="DQ296" s="614">
        <v>3818</v>
      </c>
      <c r="DR296" s="614">
        <v>2129</v>
      </c>
      <c r="DS296" s="615">
        <v>172</v>
      </c>
      <c r="DT296" s="607">
        <f t="shared" si="4"/>
        <v>56898</v>
      </c>
      <c r="DU296" s="342"/>
      <c r="EC296" s="646"/>
      <c r="EF296" s="126"/>
      <c r="EG296" s="124"/>
    </row>
    <row r="297" spans="1:137" ht="15">
      <c r="A297" s="22">
        <v>289</v>
      </c>
      <c r="B297" s="23" t="s">
        <v>721</v>
      </c>
      <c r="C297" s="24" t="s">
        <v>722</v>
      </c>
      <c r="D297" s="613"/>
      <c r="E297" s="629">
        <v>80312</v>
      </c>
      <c r="F297" s="629">
        <v>15747</v>
      </c>
      <c r="G297" s="629">
        <v>15661</v>
      </c>
      <c r="H297" s="629">
        <v>7755</v>
      </c>
      <c r="I297" s="629">
        <v>2893</v>
      </c>
      <c r="J297" s="629">
        <v>966</v>
      </c>
      <c r="K297" s="629">
        <v>577</v>
      </c>
      <c r="L297" s="629">
        <v>63</v>
      </c>
      <c r="M297" s="627">
        <v>123974</v>
      </c>
      <c r="N297" s="322"/>
      <c r="O297" s="323">
        <v>2849</v>
      </c>
      <c r="P297" s="323">
        <v>458</v>
      </c>
      <c r="Q297" s="323">
        <v>570</v>
      </c>
      <c r="R297" s="323">
        <v>116</v>
      </c>
      <c r="S297" s="323">
        <v>28</v>
      </c>
      <c r="T297" s="323">
        <v>19</v>
      </c>
      <c r="U297" s="323">
        <v>11</v>
      </c>
      <c r="V297" s="323">
        <v>2</v>
      </c>
      <c r="W297" s="323">
        <v>4053</v>
      </c>
      <c r="X297" s="329" t="s">
        <v>934</v>
      </c>
      <c r="Y297" s="330">
        <v>48</v>
      </c>
      <c r="Z297" s="330">
        <v>0</v>
      </c>
      <c r="AA297" s="330">
        <v>0</v>
      </c>
      <c r="AB297" s="330">
        <v>1</v>
      </c>
      <c r="AC297" s="330">
        <v>0</v>
      </c>
      <c r="AD297" s="330">
        <v>0</v>
      </c>
      <c r="AE297" s="330">
        <v>1</v>
      </c>
      <c r="AF297" s="330">
        <v>0</v>
      </c>
      <c r="AG297" s="328">
        <v>50</v>
      </c>
      <c r="AH297" s="329" t="s">
        <v>934</v>
      </c>
      <c r="AI297" s="184">
        <v>221</v>
      </c>
      <c r="AJ297" s="184">
        <v>94</v>
      </c>
      <c r="AK297" s="184">
        <v>118</v>
      </c>
      <c r="AL297" s="184">
        <v>61</v>
      </c>
      <c r="AM297" s="184">
        <v>46</v>
      </c>
      <c r="AN297" s="184">
        <v>22</v>
      </c>
      <c r="AO297" s="184">
        <v>32</v>
      </c>
      <c r="AP297" s="184">
        <v>40</v>
      </c>
      <c r="AQ297" s="336">
        <v>634</v>
      </c>
      <c r="AR297" s="323">
        <v>41</v>
      </c>
      <c r="AS297" s="323">
        <v>33937</v>
      </c>
      <c r="AT297" s="323">
        <v>4157</v>
      </c>
      <c r="AU297" s="323">
        <v>3447</v>
      </c>
      <c r="AV297" s="323">
        <v>1226</v>
      </c>
      <c r="AW297" s="323">
        <v>372</v>
      </c>
      <c r="AX297" s="323">
        <v>111</v>
      </c>
      <c r="AY297" s="323">
        <v>54</v>
      </c>
      <c r="AZ297" s="323">
        <v>0</v>
      </c>
      <c r="BA297" s="323">
        <v>43345</v>
      </c>
      <c r="BB297" s="331">
        <v>1</v>
      </c>
      <c r="BC297" s="330">
        <v>348</v>
      </c>
      <c r="BD297" s="330">
        <v>105</v>
      </c>
      <c r="BE297" s="330">
        <v>81</v>
      </c>
      <c r="BF297" s="330">
        <v>46</v>
      </c>
      <c r="BG297" s="330">
        <v>16</v>
      </c>
      <c r="BH297" s="330">
        <v>5</v>
      </c>
      <c r="BI297" s="330">
        <v>3</v>
      </c>
      <c r="BJ297" s="330">
        <v>0</v>
      </c>
      <c r="BK297" s="328">
        <v>605</v>
      </c>
      <c r="BL297" s="323">
        <v>2</v>
      </c>
      <c r="BM297" s="323">
        <v>57</v>
      </c>
      <c r="BN297" s="323">
        <v>15</v>
      </c>
      <c r="BO297" s="323">
        <v>9</v>
      </c>
      <c r="BP297" s="323">
        <v>19</v>
      </c>
      <c r="BQ297" s="323">
        <v>22</v>
      </c>
      <c r="BR297" s="323">
        <v>33</v>
      </c>
      <c r="BS297" s="323">
        <v>52</v>
      </c>
      <c r="BT297" s="323">
        <v>11</v>
      </c>
      <c r="BU297" s="323">
        <v>220</v>
      </c>
      <c r="BV297" s="329" t="s">
        <v>934</v>
      </c>
      <c r="BW297" s="330">
        <v>718</v>
      </c>
      <c r="BX297" s="330">
        <v>147</v>
      </c>
      <c r="BY297" s="330">
        <v>113</v>
      </c>
      <c r="BZ297" s="330">
        <v>57</v>
      </c>
      <c r="CA297" s="330">
        <v>30</v>
      </c>
      <c r="CB297" s="330">
        <v>16</v>
      </c>
      <c r="CC297" s="330">
        <v>12</v>
      </c>
      <c r="CD297" s="330">
        <v>0</v>
      </c>
      <c r="CE297" s="328">
        <v>1093</v>
      </c>
      <c r="CF297" s="322" t="s">
        <v>934</v>
      </c>
      <c r="CG297" s="323">
        <v>1935</v>
      </c>
      <c r="CH297" s="323">
        <v>139</v>
      </c>
      <c r="CI297" s="323">
        <v>164</v>
      </c>
      <c r="CJ297" s="323">
        <v>80</v>
      </c>
      <c r="CK297" s="323">
        <v>38</v>
      </c>
      <c r="CL297" s="323">
        <v>16</v>
      </c>
      <c r="CM297" s="323">
        <v>2</v>
      </c>
      <c r="CN297" s="323">
        <v>1</v>
      </c>
      <c r="CO297" s="323">
        <v>2375</v>
      </c>
      <c r="CP297" s="329" t="s">
        <v>934</v>
      </c>
      <c r="CQ297" s="330">
        <v>0</v>
      </c>
      <c r="CR297" s="330">
        <v>0</v>
      </c>
      <c r="CS297" s="330">
        <v>0</v>
      </c>
      <c r="CT297" s="330">
        <v>0</v>
      </c>
      <c r="CU297" s="330">
        <v>0</v>
      </c>
      <c r="CV297" s="330">
        <v>0</v>
      </c>
      <c r="CW297" s="330">
        <v>0</v>
      </c>
      <c r="CX297" s="330">
        <v>0</v>
      </c>
      <c r="CY297" s="328">
        <v>0</v>
      </c>
      <c r="CZ297" s="322" t="s">
        <v>934</v>
      </c>
      <c r="DA297" s="323">
        <v>0</v>
      </c>
      <c r="DB297" s="323">
        <v>0</v>
      </c>
      <c r="DC297" s="323">
        <v>0</v>
      </c>
      <c r="DD297" s="323">
        <v>0</v>
      </c>
      <c r="DE297" s="323">
        <v>0</v>
      </c>
      <c r="DF297" s="323">
        <v>0</v>
      </c>
      <c r="DG297" s="323">
        <v>0</v>
      </c>
      <c r="DH297" s="323">
        <v>0</v>
      </c>
      <c r="DI297" s="323">
        <v>0</v>
      </c>
      <c r="DJ297" s="337">
        <v>0</v>
      </c>
      <c r="DK297" s="644">
        <v>81166.5</v>
      </c>
      <c r="DL297" s="616">
        <v>79568</v>
      </c>
      <c r="DM297" s="616">
        <v>16028</v>
      </c>
      <c r="DN297" s="616">
        <v>15775</v>
      </c>
      <c r="DO297" s="616">
        <v>7948</v>
      </c>
      <c r="DP297" s="616">
        <v>2901</v>
      </c>
      <c r="DQ297" s="616">
        <v>989</v>
      </c>
      <c r="DR297" s="616">
        <v>574</v>
      </c>
      <c r="DS297" s="617">
        <v>61</v>
      </c>
      <c r="DT297" s="607">
        <f t="shared" si="4"/>
        <v>123844</v>
      </c>
      <c r="DU297" s="342"/>
      <c r="EC297" s="646"/>
      <c r="EF297" s="125"/>
      <c r="EG297" s="124"/>
    </row>
    <row r="298" spans="1:137" ht="15">
      <c r="A298" s="22">
        <v>290</v>
      </c>
      <c r="B298" s="23" t="s">
        <v>723</v>
      </c>
      <c r="C298" s="24" t="s">
        <v>724</v>
      </c>
      <c r="D298" s="613"/>
      <c r="E298" s="628">
        <v>532</v>
      </c>
      <c r="F298" s="628">
        <v>1926</v>
      </c>
      <c r="G298" s="628">
        <v>5397</v>
      </c>
      <c r="H298" s="628">
        <v>8903</v>
      </c>
      <c r="I298" s="628">
        <v>6628</v>
      </c>
      <c r="J298" s="628">
        <v>5535</v>
      </c>
      <c r="K298" s="628">
        <v>4866</v>
      </c>
      <c r="L298" s="628">
        <v>445</v>
      </c>
      <c r="M298" s="627">
        <v>34232</v>
      </c>
      <c r="N298" s="322"/>
      <c r="O298" s="323">
        <v>57</v>
      </c>
      <c r="P298" s="323">
        <v>95</v>
      </c>
      <c r="Q298" s="323">
        <v>325</v>
      </c>
      <c r="R298" s="323">
        <v>245</v>
      </c>
      <c r="S298" s="323">
        <v>252</v>
      </c>
      <c r="T298" s="323">
        <v>100</v>
      </c>
      <c r="U298" s="323">
        <v>76</v>
      </c>
      <c r="V298" s="323">
        <v>18</v>
      </c>
      <c r="W298" s="323">
        <v>1168</v>
      </c>
      <c r="X298" s="329" t="s">
        <v>934</v>
      </c>
      <c r="Y298" s="330">
        <v>0</v>
      </c>
      <c r="Z298" s="330">
        <v>0</v>
      </c>
      <c r="AA298" s="330">
        <v>0</v>
      </c>
      <c r="AB298" s="330">
        <v>0</v>
      </c>
      <c r="AC298" s="330">
        <v>0</v>
      </c>
      <c r="AD298" s="330">
        <v>0</v>
      </c>
      <c r="AE298" s="330">
        <v>0</v>
      </c>
      <c r="AF298" s="330">
        <v>0</v>
      </c>
      <c r="AG298" s="328">
        <v>0</v>
      </c>
      <c r="AH298" s="329" t="s">
        <v>934</v>
      </c>
      <c r="AI298" s="184">
        <v>1</v>
      </c>
      <c r="AJ298" s="184">
        <v>5</v>
      </c>
      <c r="AK298" s="184">
        <v>18</v>
      </c>
      <c r="AL298" s="184">
        <v>57</v>
      </c>
      <c r="AM298" s="184">
        <v>41</v>
      </c>
      <c r="AN298" s="184">
        <v>27</v>
      </c>
      <c r="AO298" s="184">
        <v>25</v>
      </c>
      <c r="AP298" s="184">
        <v>6</v>
      </c>
      <c r="AQ298" s="336">
        <v>180</v>
      </c>
      <c r="AR298" s="323">
        <v>1</v>
      </c>
      <c r="AS298" s="323">
        <v>271</v>
      </c>
      <c r="AT298" s="323">
        <v>1124</v>
      </c>
      <c r="AU298" s="323">
        <v>2139</v>
      </c>
      <c r="AV298" s="323">
        <v>2602</v>
      </c>
      <c r="AW298" s="323">
        <v>1414</v>
      </c>
      <c r="AX298" s="323">
        <v>803</v>
      </c>
      <c r="AY298" s="323">
        <v>525</v>
      </c>
      <c r="AZ298" s="323">
        <v>37</v>
      </c>
      <c r="BA298" s="323">
        <v>8916</v>
      </c>
      <c r="BB298" s="331">
        <v>0</v>
      </c>
      <c r="BC298" s="330">
        <v>2</v>
      </c>
      <c r="BD298" s="330">
        <v>6</v>
      </c>
      <c r="BE298" s="330">
        <v>24</v>
      </c>
      <c r="BF298" s="330">
        <v>31</v>
      </c>
      <c r="BG298" s="330">
        <v>25</v>
      </c>
      <c r="BH298" s="330">
        <v>11</v>
      </c>
      <c r="BI298" s="330">
        <v>18</v>
      </c>
      <c r="BJ298" s="330">
        <v>0</v>
      </c>
      <c r="BK298" s="328">
        <v>117</v>
      </c>
      <c r="BL298" s="323">
        <v>0</v>
      </c>
      <c r="BM298" s="323">
        <v>0</v>
      </c>
      <c r="BN298" s="323">
        <v>0</v>
      </c>
      <c r="BO298" s="323">
        <v>1</v>
      </c>
      <c r="BP298" s="323">
        <v>1</v>
      </c>
      <c r="BQ298" s="323">
        <v>0</v>
      </c>
      <c r="BR298" s="323">
        <v>0</v>
      </c>
      <c r="BS298" s="323">
        <v>0</v>
      </c>
      <c r="BT298" s="323">
        <v>0</v>
      </c>
      <c r="BU298" s="323">
        <v>2</v>
      </c>
      <c r="BV298" s="329" t="s">
        <v>934</v>
      </c>
      <c r="BW298" s="330">
        <v>19</v>
      </c>
      <c r="BX298" s="330">
        <v>24</v>
      </c>
      <c r="BY298" s="330">
        <v>56</v>
      </c>
      <c r="BZ298" s="330">
        <v>38</v>
      </c>
      <c r="CA298" s="330">
        <v>35</v>
      </c>
      <c r="CB298" s="330">
        <v>21</v>
      </c>
      <c r="CC298" s="330">
        <v>24</v>
      </c>
      <c r="CD298" s="330">
        <v>27</v>
      </c>
      <c r="CE298" s="328">
        <v>244</v>
      </c>
      <c r="CF298" s="322" t="s">
        <v>934</v>
      </c>
      <c r="CG298" s="323">
        <v>26</v>
      </c>
      <c r="CH298" s="323">
        <v>36</v>
      </c>
      <c r="CI298" s="323">
        <v>89</v>
      </c>
      <c r="CJ298" s="323">
        <v>78</v>
      </c>
      <c r="CK298" s="323">
        <v>34</v>
      </c>
      <c r="CL298" s="323">
        <v>24</v>
      </c>
      <c r="CM298" s="323">
        <v>33</v>
      </c>
      <c r="CN298" s="323">
        <v>11</v>
      </c>
      <c r="CO298" s="323">
        <v>331</v>
      </c>
      <c r="CP298" s="329" t="s">
        <v>934</v>
      </c>
      <c r="CQ298" s="330">
        <v>0</v>
      </c>
      <c r="CR298" s="330">
        <v>0</v>
      </c>
      <c r="CS298" s="330">
        <v>0</v>
      </c>
      <c r="CT298" s="330">
        <v>0</v>
      </c>
      <c r="CU298" s="330">
        <v>0</v>
      </c>
      <c r="CV298" s="330">
        <v>0</v>
      </c>
      <c r="CW298" s="330">
        <v>0</v>
      </c>
      <c r="CX298" s="330">
        <v>0</v>
      </c>
      <c r="CY298" s="328">
        <v>0</v>
      </c>
      <c r="CZ298" s="322" t="s">
        <v>934</v>
      </c>
      <c r="DA298" s="323">
        <v>0</v>
      </c>
      <c r="DB298" s="323">
        <v>0</v>
      </c>
      <c r="DC298" s="323">
        <v>0</v>
      </c>
      <c r="DD298" s="323">
        <v>0</v>
      </c>
      <c r="DE298" s="323">
        <v>0</v>
      </c>
      <c r="DF298" s="323">
        <v>0</v>
      </c>
      <c r="DG298" s="323">
        <v>0</v>
      </c>
      <c r="DH298" s="323">
        <v>0</v>
      </c>
      <c r="DI298" s="323">
        <v>0</v>
      </c>
      <c r="DJ298" s="337">
        <v>489.1</v>
      </c>
      <c r="DK298" s="644">
        <v>37140.9</v>
      </c>
      <c r="DL298" s="614">
        <v>533</v>
      </c>
      <c r="DM298" s="614">
        <v>1966</v>
      </c>
      <c r="DN298" s="614">
        <v>5437</v>
      </c>
      <c r="DO298" s="614">
        <v>9080</v>
      </c>
      <c r="DP298" s="614">
        <v>6552</v>
      </c>
      <c r="DQ298" s="614">
        <v>5622</v>
      </c>
      <c r="DR298" s="614">
        <v>4807</v>
      </c>
      <c r="DS298" s="615">
        <v>443</v>
      </c>
      <c r="DT298" s="607">
        <f t="shared" si="4"/>
        <v>34440</v>
      </c>
      <c r="DU298" s="342"/>
      <c r="EC298" s="646"/>
      <c r="EF298" s="126"/>
      <c r="EG298" s="124"/>
    </row>
    <row r="299" spans="1:137" ht="15">
      <c r="A299" s="22">
        <v>291</v>
      </c>
      <c r="B299" s="23" t="s">
        <v>725</v>
      </c>
      <c r="C299" s="24" t="s">
        <v>726</v>
      </c>
      <c r="D299" s="613"/>
      <c r="E299" s="640">
        <v>659</v>
      </c>
      <c r="F299" s="640">
        <v>6577</v>
      </c>
      <c r="G299" s="629">
        <v>25231</v>
      </c>
      <c r="H299" s="629">
        <v>23102</v>
      </c>
      <c r="I299" s="629">
        <v>11920</v>
      </c>
      <c r="J299" s="629">
        <v>6705</v>
      </c>
      <c r="K299" s="629">
        <v>3638</v>
      </c>
      <c r="L299" s="629">
        <v>249</v>
      </c>
      <c r="M299" s="633">
        <v>78081</v>
      </c>
      <c r="N299" s="322"/>
      <c r="O299" s="323">
        <v>48</v>
      </c>
      <c r="P299" s="323">
        <v>279</v>
      </c>
      <c r="Q299" s="323">
        <v>739</v>
      </c>
      <c r="R299" s="323">
        <v>323</v>
      </c>
      <c r="S299" s="323">
        <v>118</v>
      </c>
      <c r="T299" s="323">
        <v>75</v>
      </c>
      <c r="U299" s="323">
        <v>39</v>
      </c>
      <c r="V299" s="323">
        <v>4</v>
      </c>
      <c r="W299" s="323">
        <v>1625</v>
      </c>
      <c r="X299" s="329" t="s">
        <v>934</v>
      </c>
      <c r="Y299" s="330">
        <v>0</v>
      </c>
      <c r="Z299" s="330">
        <v>0</v>
      </c>
      <c r="AA299" s="330">
        <v>0</v>
      </c>
      <c r="AB299" s="330">
        <v>0</v>
      </c>
      <c r="AC299" s="330">
        <v>0</v>
      </c>
      <c r="AD299" s="330">
        <v>0</v>
      </c>
      <c r="AE299" s="330">
        <v>0</v>
      </c>
      <c r="AF299" s="330">
        <v>0</v>
      </c>
      <c r="AG299" s="328">
        <v>0</v>
      </c>
      <c r="AH299" s="329" t="s">
        <v>934</v>
      </c>
      <c r="AI299" s="184">
        <v>3</v>
      </c>
      <c r="AJ299" s="184">
        <v>17</v>
      </c>
      <c r="AK299" s="184">
        <v>62</v>
      </c>
      <c r="AL299" s="184">
        <v>112</v>
      </c>
      <c r="AM299" s="184">
        <v>90</v>
      </c>
      <c r="AN299" s="184">
        <v>61</v>
      </c>
      <c r="AO299" s="184">
        <v>62</v>
      </c>
      <c r="AP299" s="184">
        <v>7</v>
      </c>
      <c r="AQ299" s="336">
        <v>414</v>
      </c>
      <c r="AR299" s="323">
        <v>3</v>
      </c>
      <c r="AS299" s="323">
        <v>359</v>
      </c>
      <c r="AT299" s="323">
        <v>3760</v>
      </c>
      <c r="AU299" s="323">
        <v>10884</v>
      </c>
      <c r="AV299" s="323">
        <v>6316</v>
      </c>
      <c r="AW299" s="323">
        <v>2393</v>
      </c>
      <c r="AX299" s="323">
        <v>995</v>
      </c>
      <c r="AY299" s="323">
        <v>406</v>
      </c>
      <c r="AZ299" s="323">
        <v>18</v>
      </c>
      <c r="BA299" s="323">
        <v>25134</v>
      </c>
      <c r="BB299" s="331">
        <v>0</v>
      </c>
      <c r="BC299" s="330">
        <v>2</v>
      </c>
      <c r="BD299" s="330">
        <v>44</v>
      </c>
      <c r="BE299" s="330">
        <v>198</v>
      </c>
      <c r="BF299" s="330">
        <v>175</v>
      </c>
      <c r="BG299" s="330">
        <v>88</v>
      </c>
      <c r="BH299" s="330">
        <v>42</v>
      </c>
      <c r="BI299" s="330">
        <v>19</v>
      </c>
      <c r="BJ299" s="330">
        <v>2</v>
      </c>
      <c r="BK299" s="328">
        <v>570</v>
      </c>
      <c r="BL299" s="323">
        <v>0</v>
      </c>
      <c r="BM299" s="323">
        <v>0</v>
      </c>
      <c r="BN299" s="323">
        <v>3</v>
      </c>
      <c r="BO299" s="323">
        <v>14</v>
      </c>
      <c r="BP299" s="323">
        <v>17</v>
      </c>
      <c r="BQ299" s="323">
        <v>19</v>
      </c>
      <c r="BR299" s="323">
        <v>32</v>
      </c>
      <c r="BS299" s="323">
        <v>39</v>
      </c>
      <c r="BT299" s="323">
        <v>15</v>
      </c>
      <c r="BU299" s="323">
        <v>139</v>
      </c>
      <c r="BV299" s="329" t="s">
        <v>934</v>
      </c>
      <c r="BW299" s="330">
        <v>2</v>
      </c>
      <c r="BX299" s="330">
        <v>10</v>
      </c>
      <c r="BY299" s="330">
        <v>41</v>
      </c>
      <c r="BZ299" s="330">
        <v>31</v>
      </c>
      <c r="CA299" s="330">
        <v>12</v>
      </c>
      <c r="CB299" s="330">
        <v>8</v>
      </c>
      <c r="CC299" s="330">
        <v>3</v>
      </c>
      <c r="CD299" s="330">
        <v>0</v>
      </c>
      <c r="CE299" s="328">
        <v>107</v>
      </c>
      <c r="CF299" s="322" t="s">
        <v>934</v>
      </c>
      <c r="CG299" s="323">
        <v>0</v>
      </c>
      <c r="CH299" s="323">
        <v>0</v>
      </c>
      <c r="CI299" s="323">
        <v>0</v>
      </c>
      <c r="CJ299" s="323">
        <v>0</v>
      </c>
      <c r="CK299" s="323">
        <v>0</v>
      </c>
      <c r="CL299" s="323">
        <v>0</v>
      </c>
      <c r="CM299" s="323">
        <v>0</v>
      </c>
      <c r="CN299" s="323">
        <v>0</v>
      </c>
      <c r="CO299" s="323">
        <v>0</v>
      </c>
      <c r="CP299" s="329" t="s">
        <v>934</v>
      </c>
      <c r="CQ299" s="330">
        <v>0</v>
      </c>
      <c r="CR299" s="330">
        <v>0</v>
      </c>
      <c r="CS299" s="330">
        <v>0</v>
      </c>
      <c r="CT299" s="330">
        <v>0</v>
      </c>
      <c r="CU299" s="330">
        <v>0</v>
      </c>
      <c r="CV299" s="330">
        <v>0</v>
      </c>
      <c r="CW299" s="330">
        <v>0</v>
      </c>
      <c r="CX299" s="330">
        <v>0</v>
      </c>
      <c r="CY299" s="328">
        <v>0</v>
      </c>
      <c r="CZ299" s="322" t="s">
        <v>934</v>
      </c>
      <c r="DA299" s="323">
        <v>30</v>
      </c>
      <c r="DB299" s="323">
        <v>254</v>
      </c>
      <c r="DC299" s="323">
        <v>533</v>
      </c>
      <c r="DD299" s="323">
        <v>267</v>
      </c>
      <c r="DE299" s="323">
        <v>79</v>
      </c>
      <c r="DF299" s="323">
        <v>41</v>
      </c>
      <c r="DG299" s="323">
        <v>28</v>
      </c>
      <c r="DH299" s="323">
        <v>6</v>
      </c>
      <c r="DI299" s="323">
        <v>1238</v>
      </c>
      <c r="DJ299" s="337">
        <v>0</v>
      </c>
      <c r="DK299" s="644">
        <v>73799.3</v>
      </c>
      <c r="DL299" s="616">
        <v>705</v>
      </c>
      <c r="DM299" s="616">
        <v>6525</v>
      </c>
      <c r="DN299" s="616">
        <v>25302</v>
      </c>
      <c r="DO299" s="616">
        <v>23253</v>
      </c>
      <c r="DP299" s="616">
        <v>11985</v>
      </c>
      <c r="DQ299" s="616">
        <v>6739</v>
      </c>
      <c r="DR299" s="616">
        <v>3618</v>
      </c>
      <c r="DS299" s="617">
        <v>251</v>
      </c>
      <c r="DT299" s="608">
        <f t="shared" si="4"/>
        <v>78378</v>
      </c>
      <c r="DU299" s="342"/>
      <c r="EC299" s="646"/>
      <c r="EF299" s="131"/>
      <c r="EG299" s="128"/>
    </row>
    <row r="300" spans="1:137" ht="15">
      <c r="A300" s="22">
        <v>292</v>
      </c>
      <c r="B300" s="23" t="s">
        <v>727</v>
      </c>
      <c r="C300" s="24" t="s">
        <v>728</v>
      </c>
      <c r="D300" s="613"/>
      <c r="E300" s="626">
        <v>9496</v>
      </c>
      <c r="F300" s="626">
        <v>14020</v>
      </c>
      <c r="G300" s="626">
        <v>15718</v>
      </c>
      <c r="H300" s="626">
        <v>9003</v>
      </c>
      <c r="I300" s="626">
        <v>4728</v>
      </c>
      <c r="J300" s="626">
        <v>2146</v>
      </c>
      <c r="K300" s="626">
        <v>1134</v>
      </c>
      <c r="L300" s="626">
        <v>117</v>
      </c>
      <c r="M300" s="627">
        <v>56362</v>
      </c>
      <c r="N300" s="322"/>
      <c r="O300" s="323">
        <v>2444</v>
      </c>
      <c r="P300" s="323">
        <v>325</v>
      </c>
      <c r="Q300" s="323">
        <v>238</v>
      </c>
      <c r="R300" s="323">
        <v>114</v>
      </c>
      <c r="S300" s="323">
        <v>57</v>
      </c>
      <c r="T300" s="323">
        <v>35</v>
      </c>
      <c r="U300" s="323">
        <v>11</v>
      </c>
      <c r="V300" s="323">
        <v>1</v>
      </c>
      <c r="W300" s="323">
        <v>3225</v>
      </c>
      <c r="X300" s="329" t="s">
        <v>934</v>
      </c>
      <c r="Y300" s="330">
        <v>0</v>
      </c>
      <c r="Z300" s="330">
        <v>0</v>
      </c>
      <c r="AA300" s="330">
        <v>0</v>
      </c>
      <c r="AB300" s="330">
        <v>0</v>
      </c>
      <c r="AC300" s="330">
        <v>0</v>
      </c>
      <c r="AD300" s="330">
        <v>0</v>
      </c>
      <c r="AE300" s="330">
        <v>0</v>
      </c>
      <c r="AF300" s="330">
        <v>0</v>
      </c>
      <c r="AG300" s="328">
        <v>0</v>
      </c>
      <c r="AH300" s="329" t="s">
        <v>934</v>
      </c>
      <c r="AI300" s="184">
        <v>7</v>
      </c>
      <c r="AJ300" s="184">
        <v>33</v>
      </c>
      <c r="AK300" s="184">
        <v>68</v>
      </c>
      <c r="AL300" s="184">
        <v>40</v>
      </c>
      <c r="AM300" s="184">
        <v>25</v>
      </c>
      <c r="AN300" s="184">
        <v>11</v>
      </c>
      <c r="AO300" s="184">
        <v>12</v>
      </c>
      <c r="AP300" s="184">
        <v>14</v>
      </c>
      <c r="AQ300" s="336">
        <v>210</v>
      </c>
      <c r="AR300" s="323">
        <v>2</v>
      </c>
      <c r="AS300" s="323">
        <v>4110</v>
      </c>
      <c r="AT300" s="323">
        <v>5492</v>
      </c>
      <c r="AU300" s="323">
        <v>4553</v>
      </c>
      <c r="AV300" s="323">
        <v>1943</v>
      </c>
      <c r="AW300" s="323">
        <v>736</v>
      </c>
      <c r="AX300" s="323">
        <v>261</v>
      </c>
      <c r="AY300" s="323">
        <v>139</v>
      </c>
      <c r="AZ300" s="323">
        <v>7</v>
      </c>
      <c r="BA300" s="323">
        <v>17243</v>
      </c>
      <c r="BB300" s="331">
        <v>0</v>
      </c>
      <c r="BC300" s="330">
        <v>23</v>
      </c>
      <c r="BD300" s="330">
        <v>70</v>
      </c>
      <c r="BE300" s="330">
        <v>93</v>
      </c>
      <c r="BF300" s="330">
        <v>45</v>
      </c>
      <c r="BG300" s="330">
        <v>23</v>
      </c>
      <c r="BH300" s="330">
        <v>11</v>
      </c>
      <c r="BI300" s="330">
        <v>6</v>
      </c>
      <c r="BJ300" s="330">
        <v>0</v>
      </c>
      <c r="BK300" s="328">
        <v>271</v>
      </c>
      <c r="BL300" s="323">
        <v>0</v>
      </c>
      <c r="BM300" s="323">
        <v>3</v>
      </c>
      <c r="BN300" s="323">
        <v>11</v>
      </c>
      <c r="BO300" s="323">
        <v>7</v>
      </c>
      <c r="BP300" s="323">
        <v>8</v>
      </c>
      <c r="BQ300" s="323">
        <v>6</v>
      </c>
      <c r="BR300" s="323">
        <v>14</v>
      </c>
      <c r="BS300" s="323">
        <v>23</v>
      </c>
      <c r="BT300" s="323">
        <v>2</v>
      </c>
      <c r="BU300" s="323">
        <v>74</v>
      </c>
      <c r="BV300" s="329" t="s">
        <v>934</v>
      </c>
      <c r="BW300" s="330">
        <v>112</v>
      </c>
      <c r="BX300" s="330">
        <v>69</v>
      </c>
      <c r="BY300" s="330">
        <v>57</v>
      </c>
      <c r="BZ300" s="330">
        <v>41</v>
      </c>
      <c r="CA300" s="330">
        <v>24</v>
      </c>
      <c r="CB300" s="330">
        <v>15</v>
      </c>
      <c r="CC300" s="330">
        <v>14</v>
      </c>
      <c r="CD300" s="330">
        <v>3</v>
      </c>
      <c r="CE300" s="328">
        <v>335</v>
      </c>
      <c r="CF300" s="322" t="s">
        <v>934</v>
      </c>
      <c r="CG300" s="323">
        <v>0</v>
      </c>
      <c r="CH300" s="323">
        <v>0</v>
      </c>
      <c r="CI300" s="323">
        <v>0</v>
      </c>
      <c r="CJ300" s="323">
        <v>0</v>
      </c>
      <c r="CK300" s="323">
        <v>0</v>
      </c>
      <c r="CL300" s="323">
        <v>0</v>
      </c>
      <c r="CM300" s="323">
        <v>0</v>
      </c>
      <c r="CN300" s="323">
        <v>0</v>
      </c>
      <c r="CO300" s="323">
        <v>0</v>
      </c>
      <c r="CP300" s="329" t="s">
        <v>934</v>
      </c>
      <c r="CQ300" s="330">
        <v>0</v>
      </c>
      <c r="CR300" s="330">
        <v>0</v>
      </c>
      <c r="CS300" s="330">
        <v>0</v>
      </c>
      <c r="CT300" s="330">
        <v>0</v>
      </c>
      <c r="CU300" s="330">
        <v>0</v>
      </c>
      <c r="CV300" s="330">
        <v>0</v>
      </c>
      <c r="CW300" s="330">
        <v>0</v>
      </c>
      <c r="CX300" s="330">
        <v>0</v>
      </c>
      <c r="CY300" s="328">
        <v>0</v>
      </c>
      <c r="CZ300" s="322" t="s">
        <v>934</v>
      </c>
      <c r="DA300" s="323">
        <v>287</v>
      </c>
      <c r="DB300" s="323">
        <v>161</v>
      </c>
      <c r="DC300" s="323">
        <v>104</v>
      </c>
      <c r="DD300" s="323">
        <v>81</v>
      </c>
      <c r="DE300" s="323">
        <v>35</v>
      </c>
      <c r="DF300" s="323">
        <v>12</v>
      </c>
      <c r="DG300" s="323">
        <v>7</v>
      </c>
      <c r="DH300" s="323">
        <v>1</v>
      </c>
      <c r="DI300" s="323">
        <v>688</v>
      </c>
      <c r="DJ300" s="337">
        <v>0</v>
      </c>
      <c r="DK300" s="644">
        <v>44884.3</v>
      </c>
      <c r="DL300" s="614">
        <v>9609</v>
      </c>
      <c r="DM300" s="614">
        <v>14267</v>
      </c>
      <c r="DN300" s="614">
        <v>15870</v>
      </c>
      <c r="DO300" s="614">
        <v>9337</v>
      </c>
      <c r="DP300" s="614">
        <v>4855</v>
      </c>
      <c r="DQ300" s="614">
        <v>2223</v>
      </c>
      <c r="DR300" s="614">
        <v>1132</v>
      </c>
      <c r="DS300" s="615">
        <v>117</v>
      </c>
      <c r="DT300" s="607">
        <f t="shared" si="4"/>
        <v>57410</v>
      </c>
      <c r="DU300" s="342"/>
      <c r="EC300" s="646"/>
      <c r="EF300" s="123"/>
      <c r="EG300" s="124"/>
    </row>
    <row r="301" spans="1:137" ht="15">
      <c r="A301" s="22">
        <v>293</v>
      </c>
      <c r="B301" s="23" t="s">
        <v>729</v>
      </c>
      <c r="C301" s="24" t="s">
        <v>730</v>
      </c>
      <c r="D301" s="613"/>
      <c r="E301" s="626">
        <v>13324</v>
      </c>
      <c r="F301" s="626">
        <v>25279</v>
      </c>
      <c r="G301" s="626">
        <v>20352</v>
      </c>
      <c r="H301" s="626">
        <v>13180</v>
      </c>
      <c r="I301" s="626">
        <v>7195</v>
      </c>
      <c r="J301" s="626">
        <v>2695</v>
      </c>
      <c r="K301" s="626">
        <v>1157</v>
      </c>
      <c r="L301" s="626">
        <v>59</v>
      </c>
      <c r="M301" s="631">
        <v>83241</v>
      </c>
      <c r="N301" s="322"/>
      <c r="O301" s="323">
        <v>445</v>
      </c>
      <c r="P301" s="323">
        <v>583</v>
      </c>
      <c r="Q301" s="323">
        <v>491</v>
      </c>
      <c r="R301" s="323">
        <v>205</v>
      </c>
      <c r="S301" s="323">
        <v>107</v>
      </c>
      <c r="T301" s="323">
        <v>48</v>
      </c>
      <c r="U301" s="323">
        <v>14</v>
      </c>
      <c r="V301" s="323">
        <v>0</v>
      </c>
      <c r="W301" s="323">
        <v>1893</v>
      </c>
      <c r="X301" s="329" t="s">
        <v>934</v>
      </c>
      <c r="Y301" s="330">
        <v>0</v>
      </c>
      <c r="Z301" s="330">
        <v>0</v>
      </c>
      <c r="AA301" s="330">
        <v>0</v>
      </c>
      <c r="AB301" s="330">
        <v>0</v>
      </c>
      <c r="AC301" s="330">
        <v>0</v>
      </c>
      <c r="AD301" s="330">
        <v>0</v>
      </c>
      <c r="AE301" s="330">
        <v>0</v>
      </c>
      <c r="AF301" s="330">
        <v>0</v>
      </c>
      <c r="AG301" s="328">
        <v>0</v>
      </c>
      <c r="AH301" s="329" t="s">
        <v>934</v>
      </c>
      <c r="AI301" s="184">
        <v>27</v>
      </c>
      <c r="AJ301" s="184">
        <v>130</v>
      </c>
      <c r="AK301" s="184">
        <v>137</v>
      </c>
      <c r="AL301" s="184">
        <v>111</v>
      </c>
      <c r="AM301" s="184">
        <v>50</v>
      </c>
      <c r="AN301" s="184">
        <v>19</v>
      </c>
      <c r="AO301" s="184">
        <v>16</v>
      </c>
      <c r="AP301" s="184">
        <v>7</v>
      </c>
      <c r="AQ301" s="336">
        <v>497</v>
      </c>
      <c r="AR301" s="323">
        <v>16</v>
      </c>
      <c r="AS301" s="323">
        <v>7645</v>
      </c>
      <c r="AT301" s="323">
        <v>9713</v>
      </c>
      <c r="AU301" s="323">
        <v>5759</v>
      </c>
      <c r="AV301" s="323">
        <v>2812</v>
      </c>
      <c r="AW301" s="323">
        <v>1009</v>
      </c>
      <c r="AX301" s="323">
        <v>272</v>
      </c>
      <c r="AY301" s="323">
        <v>93</v>
      </c>
      <c r="AZ301" s="323">
        <v>5</v>
      </c>
      <c r="BA301" s="323">
        <v>27324</v>
      </c>
      <c r="BB301" s="331">
        <v>1</v>
      </c>
      <c r="BC301" s="330">
        <v>49</v>
      </c>
      <c r="BD301" s="330">
        <v>117</v>
      </c>
      <c r="BE301" s="330">
        <v>122</v>
      </c>
      <c r="BF301" s="330">
        <v>67</v>
      </c>
      <c r="BG301" s="330">
        <v>36</v>
      </c>
      <c r="BH301" s="330">
        <v>15</v>
      </c>
      <c r="BI301" s="330">
        <v>2</v>
      </c>
      <c r="BJ301" s="330">
        <v>1</v>
      </c>
      <c r="BK301" s="328">
        <v>410</v>
      </c>
      <c r="BL301" s="323">
        <v>0</v>
      </c>
      <c r="BM301" s="323">
        <v>2</v>
      </c>
      <c r="BN301" s="323">
        <v>6</v>
      </c>
      <c r="BO301" s="323">
        <v>4</v>
      </c>
      <c r="BP301" s="323">
        <v>6</v>
      </c>
      <c r="BQ301" s="323">
        <v>5</v>
      </c>
      <c r="BR301" s="323">
        <v>12</v>
      </c>
      <c r="BS301" s="323">
        <v>12</v>
      </c>
      <c r="BT301" s="323">
        <v>3</v>
      </c>
      <c r="BU301" s="323">
        <v>50</v>
      </c>
      <c r="BV301" s="329" t="s">
        <v>934</v>
      </c>
      <c r="BW301" s="330">
        <v>156</v>
      </c>
      <c r="BX301" s="330">
        <v>164</v>
      </c>
      <c r="BY301" s="330">
        <v>95</v>
      </c>
      <c r="BZ301" s="330">
        <v>57</v>
      </c>
      <c r="CA301" s="330">
        <v>32</v>
      </c>
      <c r="CB301" s="330">
        <v>22</v>
      </c>
      <c r="CC301" s="330">
        <v>19</v>
      </c>
      <c r="CD301" s="330">
        <v>5</v>
      </c>
      <c r="CE301" s="328">
        <v>550</v>
      </c>
      <c r="CF301" s="322" t="s">
        <v>934</v>
      </c>
      <c r="CG301" s="323">
        <v>1</v>
      </c>
      <c r="CH301" s="323">
        <v>6</v>
      </c>
      <c r="CI301" s="323">
        <v>5</v>
      </c>
      <c r="CJ301" s="323">
        <v>0</v>
      </c>
      <c r="CK301" s="323">
        <v>1</v>
      </c>
      <c r="CL301" s="323">
        <v>1</v>
      </c>
      <c r="CM301" s="323">
        <v>1</v>
      </c>
      <c r="CN301" s="323">
        <v>0</v>
      </c>
      <c r="CO301" s="323">
        <v>15</v>
      </c>
      <c r="CP301" s="329" t="s">
        <v>934</v>
      </c>
      <c r="CQ301" s="330">
        <v>0</v>
      </c>
      <c r="CR301" s="330">
        <v>0</v>
      </c>
      <c r="CS301" s="330">
        <v>0</v>
      </c>
      <c r="CT301" s="330">
        <v>0</v>
      </c>
      <c r="CU301" s="330">
        <v>0</v>
      </c>
      <c r="CV301" s="330">
        <v>0</v>
      </c>
      <c r="CW301" s="330">
        <v>0</v>
      </c>
      <c r="CX301" s="330">
        <v>0</v>
      </c>
      <c r="CY301" s="328">
        <v>0</v>
      </c>
      <c r="CZ301" s="322" t="s">
        <v>934</v>
      </c>
      <c r="DA301" s="323">
        <v>118</v>
      </c>
      <c r="DB301" s="323">
        <v>117</v>
      </c>
      <c r="DC301" s="323">
        <v>74</v>
      </c>
      <c r="DD301" s="323">
        <v>41</v>
      </c>
      <c r="DE301" s="323">
        <v>16</v>
      </c>
      <c r="DF301" s="323">
        <v>3</v>
      </c>
      <c r="DG301" s="323">
        <v>4</v>
      </c>
      <c r="DH301" s="323">
        <v>0</v>
      </c>
      <c r="DI301" s="323">
        <v>373</v>
      </c>
      <c r="DJ301" s="337">
        <v>57.9</v>
      </c>
      <c r="DK301" s="644">
        <v>66923.2</v>
      </c>
      <c r="DL301" s="614">
        <v>13410</v>
      </c>
      <c r="DM301" s="614">
        <v>25447</v>
      </c>
      <c r="DN301" s="614">
        <v>21144</v>
      </c>
      <c r="DO301" s="614">
        <v>13725</v>
      </c>
      <c r="DP301" s="614">
        <v>7394</v>
      </c>
      <c r="DQ301" s="614">
        <v>2782</v>
      </c>
      <c r="DR301" s="614">
        <v>1202</v>
      </c>
      <c r="DS301" s="615">
        <v>60</v>
      </c>
      <c r="DT301" s="607">
        <f t="shared" si="4"/>
        <v>85164</v>
      </c>
      <c r="DU301" s="342"/>
      <c r="EC301" s="646"/>
      <c r="EF301" s="126"/>
      <c r="EG301" s="124"/>
    </row>
    <row r="302" spans="1:137" ht="15">
      <c r="A302" s="22">
        <v>294</v>
      </c>
      <c r="B302" s="23" t="s">
        <v>731</v>
      </c>
      <c r="C302" s="24" t="s">
        <v>732</v>
      </c>
      <c r="D302" s="613"/>
      <c r="E302" s="626">
        <v>51932</v>
      </c>
      <c r="F302" s="626">
        <v>16876</v>
      </c>
      <c r="G302" s="626">
        <v>17877</v>
      </c>
      <c r="H302" s="626">
        <v>5826</v>
      </c>
      <c r="I302" s="626">
        <v>3077</v>
      </c>
      <c r="J302" s="626">
        <v>826</v>
      </c>
      <c r="K302" s="626">
        <v>353</v>
      </c>
      <c r="L302" s="626">
        <v>41</v>
      </c>
      <c r="M302" s="627">
        <v>96808</v>
      </c>
      <c r="N302" s="322"/>
      <c r="O302" s="323">
        <v>1763</v>
      </c>
      <c r="P302" s="323">
        <v>388</v>
      </c>
      <c r="Q302" s="323">
        <v>251</v>
      </c>
      <c r="R302" s="323">
        <v>81</v>
      </c>
      <c r="S302" s="323">
        <v>48</v>
      </c>
      <c r="T302" s="323">
        <v>13</v>
      </c>
      <c r="U302" s="323">
        <v>6</v>
      </c>
      <c r="V302" s="323">
        <v>2</v>
      </c>
      <c r="W302" s="323">
        <v>2552</v>
      </c>
      <c r="X302" s="329" t="s">
        <v>934</v>
      </c>
      <c r="Y302" s="330">
        <v>0</v>
      </c>
      <c r="Z302" s="330">
        <v>0</v>
      </c>
      <c r="AA302" s="330">
        <v>0</v>
      </c>
      <c r="AB302" s="330">
        <v>0</v>
      </c>
      <c r="AC302" s="330">
        <v>0</v>
      </c>
      <c r="AD302" s="330">
        <v>0</v>
      </c>
      <c r="AE302" s="330">
        <v>0</v>
      </c>
      <c r="AF302" s="330">
        <v>0</v>
      </c>
      <c r="AG302" s="328">
        <v>0</v>
      </c>
      <c r="AH302" s="329" t="s">
        <v>934</v>
      </c>
      <c r="AI302" s="184">
        <v>83</v>
      </c>
      <c r="AJ302" s="184">
        <v>78</v>
      </c>
      <c r="AK302" s="184">
        <v>134</v>
      </c>
      <c r="AL302" s="184">
        <v>49</v>
      </c>
      <c r="AM302" s="184">
        <v>34</v>
      </c>
      <c r="AN302" s="184">
        <v>15</v>
      </c>
      <c r="AO302" s="184">
        <v>16</v>
      </c>
      <c r="AP302" s="184">
        <v>21</v>
      </c>
      <c r="AQ302" s="336">
        <v>430</v>
      </c>
      <c r="AR302" s="323">
        <v>21</v>
      </c>
      <c r="AS302" s="323">
        <v>22481</v>
      </c>
      <c r="AT302" s="323">
        <v>4803</v>
      </c>
      <c r="AU302" s="323">
        <v>4172</v>
      </c>
      <c r="AV302" s="323">
        <v>948</v>
      </c>
      <c r="AW302" s="323">
        <v>354</v>
      </c>
      <c r="AX302" s="323">
        <v>105</v>
      </c>
      <c r="AY302" s="323">
        <v>41</v>
      </c>
      <c r="AZ302" s="323">
        <v>0</v>
      </c>
      <c r="BA302" s="323">
        <v>32925</v>
      </c>
      <c r="BB302" s="331">
        <v>0</v>
      </c>
      <c r="BC302" s="330">
        <v>313</v>
      </c>
      <c r="BD302" s="330">
        <v>122</v>
      </c>
      <c r="BE302" s="330">
        <v>153</v>
      </c>
      <c r="BF302" s="330">
        <v>41</v>
      </c>
      <c r="BG302" s="330">
        <v>24</v>
      </c>
      <c r="BH302" s="330">
        <v>3</v>
      </c>
      <c r="BI302" s="330">
        <v>0</v>
      </c>
      <c r="BJ302" s="330">
        <v>0</v>
      </c>
      <c r="BK302" s="328">
        <v>656</v>
      </c>
      <c r="BL302" s="323">
        <v>0</v>
      </c>
      <c r="BM302" s="323">
        <v>8</v>
      </c>
      <c r="BN302" s="323">
        <v>4</v>
      </c>
      <c r="BO302" s="323">
        <v>6</v>
      </c>
      <c r="BP302" s="323">
        <v>3</v>
      </c>
      <c r="BQ302" s="323">
        <v>3</v>
      </c>
      <c r="BR302" s="323">
        <v>13</v>
      </c>
      <c r="BS302" s="323">
        <v>32</v>
      </c>
      <c r="BT302" s="323">
        <v>2</v>
      </c>
      <c r="BU302" s="323">
        <v>71</v>
      </c>
      <c r="BV302" s="329" t="s">
        <v>934</v>
      </c>
      <c r="BW302" s="330">
        <v>15</v>
      </c>
      <c r="BX302" s="330">
        <v>9</v>
      </c>
      <c r="BY302" s="330">
        <v>7</v>
      </c>
      <c r="BZ302" s="330">
        <v>1</v>
      </c>
      <c r="CA302" s="330">
        <v>2</v>
      </c>
      <c r="CB302" s="330">
        <v>1</v>
      </c>
      <c r="CC302" s="330">
        <v>1</v>
      </c>
      <c r="CD302" s="330">
        <v>0</v>
      </c>
      <c r="CE302" s="328">
        <v>36</v>
      </c>
      <c r="CF302" s="322" t="s">
        <v>934</v>
      </c>
      <c r="CG302" s="323">
        <v>1578</v>
      </c>
      <c r="CH302" s="323">
        <v>419</v>
      </c>
      <c r="CI302" s="323">
        <v>200</v>
      </c>
      <c r="CJ302" s="323">
        <v>92</v>
      </c>
      <c r="CK302" s="323">
        <v>40</v>
      </c>
      <c r="CL302" s="323">
        <v>16</v>
      </c>
      <c r="CM302" s="323">
        <v>0</v>
      </c>
      <c r="CN302" s="323">
        <v>0</v>
      </c>
      <c r="CO302" s="323">
        <v>2345</v>
      </c>
      <c r="CP302" s="329" t="s">
        <v>934</v>
      </c>
      <c r="CQ302" s="330">
        <v>0</v>
      </c>
      <c r="CR302" s="330">
        <v>0</v>
      </c>
      <c r="CS302" s="330">
        <v>0</v>
      </c>
      <c r="CT302" s="330">
        <v>0</v>
      </c>
      <c r="CU302" s="330">
        <v>0</v>
      </c>
      <c r="CV302" s="330">
        <v>0</v>
      </c>
      <c r="CW302" s="330">
        <v>0</v>
      </c>
      <c r="CX302" s="330">
        <v>0</v>
      </c>
      <c r="CY302" s="328">
        <v>0</v>
      </c>
      <c r="CZ302" s="322" t="s">
        <v>934</v>
      </c>
      <c r="DA302" s="323">
        <v>0</v>
      </c>
      <c r="DB302" s="323">
        <v>0</v>
      </c>
      <c r="DC302" s="323">
        <v>0</v>
      </c>
      <c r="DD302" s="323">
        <v>0</v>
      </c>
      <c r="DE302" s="323">
        <v>0</v>
      </c>
      <c r="DF302" s="323">
        <v>0</v>
      </c>
      <c r="DG302" s="323">
        <v>0</v>
      </c>
      <c r="DH302" s="323">
        <v>0</v>
      </c>
      <c r="DI302" s="323">
        <v>0</v>
      </c>
      <c r="DJ302" s="337">
        <v>4.8</v>
      </c>
      <c r="DK302" s="644">
        <v>66097.3</v>
      </c>
      <c r="DL302" s="614">
        <v>51780</v>
      </c>
      <c r="DM302" s="614">
        <v>17184</v>
      </c>
      <c r="DN302" s="614">
        <v>18020</v>
      </c>
      <c r="DO302" s="614">
        <v>5943</v>
      </c>
      <c r="DP302" s="614">
        <v>3129</v>
      </c>
      <c r="DQ302" s="614">
        <v>824</v>
      </c>
      <c r="DR302" s="614">
        <v>355</v>
      </c>
      <c r="DS302" s="615">
        <v>41</v>
      </c>
      <c r="DT302" s="607">
        <f t="shared" si="4"/>
        <v>97276</v>
      </c>
      <c r="DU302" s="342"/>
      <c r="EC302" s="646"/>
      <c r="EF302" s="123"/>
      <c r="EG302" s="124"/>
    </row>
    <row r="303" spans="1:137" ht="15">
      <c r="A303" s="22">
        <v>295</v>
      </c>
      <c r="B303" s="23" t="s">
        <v>733</v>
      </c>
      <c r="C303" s="24" t="s">
        <v>734</v>
      </c>
      <c r="D303" s="613"/>
      <c r="E303" s="628">
        <v>9183</v>
      </c>
      <c r="F303" s="628">
        <v>11187</v>
      </c>
      <c r="G303" s="628">
        <v>5050</v>
      </c>
      <c r="H303" s="628">
        <v>3352</v>
      </c>
      <c r="I303" s="628">
        <v>1574</v>
      </c>
      <c r="J303" s="628">
        <v>382</v>
      </c>
      <c r="K303" s="628">
        <v>87</v>
      </c>
      <c r="L303" s="628">
        <v>3</v>
      </c>
      <c r="M303" s="627">
        <f>SUM(E303:L303)</f>
        <v>30818</v>
      </c>
      <c r="N303" s="322"/>
      <c r="O303" s="323">
        <v>207</v>
      </c>
      <c r="P303" s="323">
        <v>145</v>
      </c>
      <c r="Q303" s="323">
        <v>43</v>
      </c>
      <c r="R303" s="323">
        <v>26</v>
      </c>
      <c r="S303" s="323">
        <v>12</v>
      </c>
      <c r="T303" s="323">
        <v>6</v>
      </c>
      <c r="U303" s="323">
        <v>2</v>
      </c>
      <c r="V303" s="323">
        <v>0</v>
      </c>
      <c r="W303" s="323">
        <v>441</v>
      </c>
      <c r="X303" s="329" t="s">
        <v>934</v>
      </c>
      <c r="Y303" s="330">
        <v>0</v>
      </c>
      <c r="Z303" s="330">
        <v>1</v>
      </c>
      <c r="AA303" s="330">
        <v>0</v>
      </c>
      <c r="AB303" s="330">
        <v>0</v>
      </c>
      <c r="AC303" s="330">
        <v>0</v>
      </c>
      <c r="AD303" s="330">
        <v>0</v>
      </c>
      <c r="AE303" s="330">
        <v>0</v>
      </c>
      <c r="AF303" s="330">
        <v>0</v>
      </c>
      <c r="AG303" s="328">
        <v>1</v>
      </c>
      <c r="AH303" s="329" t="s">
        <v>934</v>
      </c>
      <c r="AI303" s="184">
        <v>22</v>
      </c>
      <c r="AJ303" s="184">
        <v>72</v>
      </c>
      <c r="AK303" s="184">
        <v>28</v>
      </c>
      <c r="AL303" s="184">
        <v>23</v>
      </c>
      <c r="AM303" s="184">
        <v>12</v>
      </c>
      <c r="AN303" s="184">
        <v>8</v>
      </c>
      <c r="AO303" s="184">
        <v>2</v>
      </c>
      <c r="AP303" s="184">
        <v>1</v>
      </c>
      <c r="AQ303" s="336">
        <v>168</v>
      </c>
      <c r="AR303" s="323">
        <v>5</v>
      </c>
      <c r="AS303" s="323">
        <v>4194</v>
      </c>
      <c r="AT303" s="323">
        <v>3160</v>
      </c>
      <c r="AU303" s="323">
        <v>1053</v>
      </c>
      <c r="AV303" s="323">
        <v>400</v>
      </c>
      <c r="AW303" s="323">
        <v>195</v>
      </c>
      <c r="AX303" s="323">
        <v>30</v>
      </c>
      <c r="AY303" s="323">
        <v>13</v>
      </c>
      <c r="AZ303" s="323">
        <v>0</v>
      </c>
      <c r="BA303" s="323">
        <v>9050</v>
      </c>
      <c r="BB303" s="331">
        <v>0</v>
      </c>
      <c r="BC303" s="330">
        <v>55</v>
      </c>
      <c r="BD303" s="330">
        <v>98</v>
      </c>
      <c r="BE303" s="330">
        <v>31</v>
      </c>
      <c r="BF303" s="330">
        <v>20</v>
      </c>
      <c r="BG303" s="330">
        <v>5</v>
      </c>
      <c r="BH303" s="330">
        <v>2</v>
      </c>
      <c r="BI303" s="330">
        <v>1</v>
      </c>
      <c r="BJ303" s="330">
        <v>0</v>
      </c>
      <c r="BK303" s="328">
        <v>212</v>
      </c>
      <c r="BL303" s="323">
        <v>0</v>
      </c>
      <c r="BM303" s="323">
        <v>5</v>
      </c>
      <c r="BN303" s="323">
        <v>4</v>
      </c>
      <c r="BO303" s="323">
        <v>7</v>
      </c>
      <c r="BP303" s="323">
        <v>3</v>
      </c>
      <c r="BQ303" s="323">
        <v>4</v>
      </c>
      <c r="BR303" s="323">
        <v>4</v>
      </c>
      <c r="BS303" s="323">
        <v>1</v>
      </c>
      <c r="BT303" s="323">
        <v>1</v>
      </c>
      <c r="BU303" s="323">
        <v>29</v>
      </c>
      <c r="BV303" s="329" t="s">
        <v>934</v>
      </c>
      <c r="BW303" s="330">
        <v>14</v>
      </c>
      <c r="BX303" s="330">
        <v>10</v>
      </c>
      <c r="BY303" s="330">
        <v>3</v>
      </c>
      <c r="BZ303" s="330">
        <v>2</v>
      </c>
      <c r="CA303" s="330">
        <v>4</v>
      </c>
      <c r="CB303" s="330">
        <v>1</v>
      </c>
      <c r="CC303" s="330">
        <v>0</v>
      </c>
      <c r="CD303" s="330">
        <v>0</v>
      </c>
      <c r="CE303" s="328">
        <v>34</v>
      </c>
      <c r="CF303" s="322" t="s">
        <v>934</v>
      </c>
      <c r="CG303" s="323">
        <v>96</v>
      </c>
      <c r="CH303" s="323">
        <v>76</v>
      </c>
      <c r="CI303" s="323">
        <v>25</v>
      </c>
      <c r="CJ303" s="323">
        <v>11</v>
      </c>
      <c r="CK303" s="323">
        <v>10</v>
      </c>
      <c r="CL303" s="323">
        <v>3</v>
      </c>
      <c r="CM303" s="323">
        <v>0</v>
      </c>
      <c r="CN303" s="323">
        <v>0</v>
      </c>
      <c r="CO303" s="323">
        <v>221</v>
      </c>
      <c r="CP303" s="329" t="s">
        <v>934</v>
      </c>
      <c r="CQ303" s="330">
        <v>0</v>
      </c>
      <c r="CR303" s="330">
        <v>0</v>
      </c>
      <c r="CS303" s="330">
        <v>0</v>
      </c>
      <c r="CT303" s="330">
        <v>0</v>
      </c>
      <c r="CU303" s="330">
        <v>0</v>
      </c>
      <c r="CV303" s="330">
        <v>0</v>
      </c>
      <c r="CW303" s="330">
        <v>0</v>
      </c>
      <c r="CX303" s="330">
        <v>0</v>
      </c>
      <c r="CY303" s="328">
        <v>0</v>
      </c>
      <c r="CZ303" s="322" t="s">
        <v>934</v>
      </c>
      <c r="DA303" s="323">
        <v>0</v>
      </c>
      <c r="DB303" s="323">
        <v>0</v>
      </c>
      <c r="DC303" s="323">
        <v>0</v>
      </c>
      <c r="DD303" s="323">
        <v>0</v>
      </c>
      <c r="DE303" s="323">
        <v>0</v>
      </c>
      <c r="DF303" s="323">
        <v>0</v>
      </c>
      <c r="DG303" s="323">
        <v>0</v>
      </c>
      <c r="DH303" s="323">
        <v>0</v>
      </c>
      <c r="DI303" s="323">
        <v>0</v>
      </c>
      <c r="DJ303" s="337">
        <v>0</v>
      </c>
      <c r="DK303" s="644">
        <v>23044.3</v>
      </c>
      <c r="DL303" s="614">
        <v>9248</v>
      </c>
      <c r="DM303" s="614">
        <v>11326</v>
      </c>
      <c r="DN303" s="614">
        <v>5122</v>
      </c>
      <c r="DO303" s="614">
        <v>3392</v>
      </c>
      <c r="DP303" s="614">
        <v>1598</v>
      </c>
      <c r="DQ303" s="614">
        <v>378</v>
      </c>
      <c r="DR303" s="614">
        <v>84</v>
      </c>
      <c r="DS303" s="615">
        <v>4</v>
      </c>
      <c r="DT303" s="607">
        <f t="shared" si="4"/>
        <v>31152</v>
      </c>
      <c r="DU303" s="342"/>
      <c r="EC303" s="646"/>
      <c r="EF303" s="126"/>
      <c r="EG303" s="124"/>
    </row>
    <row r="304" spans="1:137" ht="15">
      <c r="A304" s="22">
        <v>296</v>
      </c>
      <c r="B304" s="23" t="s">
        <v>735</v>
      </c>
      <c r="C304" s="24" t="s">
        <v>736</v>
      </c>
      <c r="D304" s="613"/>
      <c r="E304" s="628">
        <v>765</v>
      </c>
      <c r="F304" s="628">
        <v>1959</v>
      </c>
      <c r="G304" s="628">
        <v>4444</v>
      </c>
      <c r="H304" s="628">
        <v>7938</v>
      </c>
      <c r="I304" s="628">
        <v>6862</v>
      </c>
      <c r="J304" s="628">
        <v>4514</v>
      </c>
      <c r="K304" s="628">
        <v>5857</v>
      </c>
      <c r="L304" s="628">
        <v>1091</v>
      </c>
      <c r="M304" s="627">
        <v>33430</v>
      </c>
      <c r="N304" s="322"/>
      <c r="O304" s="323">
        <v>113</v>
      </c>
      <c r="P304" s="323">
        <v>110</v>
      </c>
      <c r="Q304" s="323">
        <v>151</v>
      </c>
      <c r="R304" s="323">
        <v>156</v>
      </c>
      <c r="S304" s="323">
        <v>128</v>
      </c>
      <c r="T304" s="323">
        <v>69</v>
      </c>
      <c r="U304" s="323">
        <v>77</v>
      </c>
      <c r="V304" s="323">
        <v>16</v>
      </c>
      <c r="W304" s="323">
        <v>820</v>
      </c>
      <c r="X304" s="329" t="s">
        <v>934</v>
      </c>
      <c r="Y304" s="330">
        <v>0</v>
      </c>
      <c r="Z304" s="330">
        <v>0</v>
      </c>
      <c r="AA304" s="330">
        <v>0</v>
      </c>
      <c r="AB304" s="330">
        <v>0</v>
      </c>
      <c r="AC304" s="330">
        <v>0</v>
      </c>
      <c r="AD304" s="330">
        <v>1</v>
      </c>
      <c r="AE304" s="330">
        <v>2</v>
      </c>
      <c r="AF304" s="330">
        <v>0</v>
      </c>
      <c r="AG304" s="328">
        <v>3</v>
      </c>
      <c r="AH304" s="329" t="s">
        <v>934</v>
      </c>
      <c r="AI304" s="184">
        <v>2</v>
      </c>
      <c r="AJ304" s="184">
        <v>5</v>
      </c>
      <c r="AK304" s="184">
        <v>24</v>
      </c>
      <c r="AL304" s="184">
        <v>39</v>
      </c>
      <c r="AM304" s="184">
        <v>57</v>
      </c>
      <c r="AN304" s="184">
        <v>37</v>
      </c>
      <c r="AO304" s="184">
        <v>75</v>
      </c>
      <c r="AP304" s="184">
        <v>28</v>
      </c>
      <c r="AQ304" s="336">
        <v>267</v>
      </c>
      <c r="AR304" s="323">
        <v>1</v>
      </c>
      <c r="AS304" s="323">
        <v>344</v>
      </c>
      <c r="AT304" s="323">
        <v>1282</v>
      </c>
      <c r="AU304" s="323">
        <v>2121</v>
      </c>
      <c r="AV304" s="323">
        <v>2551</v>
      </c>
      <c r="AW304" s="323">
        <v>1716</v>
      </c>
      <c r="AX304" s="323">
        <v>962</v>
      </c>
      <c r="AY304" s="323">
        <v>755</v>
      </c>
      <c r="AZ304" s="323">
        <v>118</v>
      </c>
      <c r="BA304" s="323">
        <v>9850</v>
      </c>
      <c r="BB304" s="331">
        <v>0</v>
      </c>
      <c r="BC304" s="330">
        <v>1</v>
      </c>
      <c r="BD304" s="330">
        <v>8</v>
      </c>
      <c r="BE304" s="330">
        <v>32</v>
      </c>
      <c r="BF304" s="330">
        <v>69</v>
      </c>
      <c r="BG304" s="330">
        <v>49</v>
      </c>
      <c r="BH304" s="330">
        <v>24</v>
      </c>
      <c r="BI304" s="330">
        <v>28</v>
      </c>
      <c r="BJ304" s="330">
        <v>4</v>
      </c>
      <c r="BK304" s="328">
        <v>215</v>
      </c>
      <c r="BL304" s="323">
        <v>0</v>
      </c>
      <c r="BM304" s="323">
        <v>0</v>
      </c>
      <c r="BN304" s="323">
        <v>0</v>
      </c>
      <c r="BO304" s="323">
        <v>1</v>
      </c>
      <c r="BP304" s="323">
        <v>3</v>
      </c>
      <c r="BQ304" s="323">
        <v>5</v>
      </c>
      <c r="BR304" s="323">
        <v>9</v>
      </c>
      <c r="BS304" s="323">
        <v>37</v>
      </c>
      <c r="BT304" s="323">
        <v>8</v>
      </c>
      <c r="BU304" s="323">
        <v>63</v>
      </c>
      <c r="BV304" s="329" t="s">
        <v>934</v>
      </c>
      <c r="BW304" s="330">
        <v>17</v>
      </c>
      <c r="BX304" s="330">
        <v>29</v>
      </c>
      <c r="BY304" s="330">
        <v>42</v>
      </c>
      <c r="BZ304" s="330">
        <v>48</v>
      </c>
      <c r="CA304" s="330">
        <v>40</v>
      </c>
      <c r="CB304" s="330">
        <v>26</v>
      </c>
      <c r="CC304" s="330">
        <v>40</v>
      </c>
      <c r="CD304" s="330">
        <v>21</v>
      </c>
      <c r="CE304" s="328">
        <v>263</v>
      </c>
      <c r="CF304" s="322" t="s">
        <v>934</v>
      </c>
      <c r="CG304" s="323">
        <v>46</v>
      </c>
      <c r="CH304" s="323">
        <v>48</v>
      </c>
      <c r="CI304" s="323">
        <v>67</v>
      </c>
      <c r="CJ304" s="323">
        <v>61</v>
      </c>
      <c r="CK304" s="323">
        <v>48</v>
      </c>
      <c r="CL304" s="323">
        <v>35</v>
      </c>
      <c r="CM304" s="323">
        <v>26</v>
      </c>
      <c r="CN304" s="323">
        <v>10</v>
      </c>
      <c r="CO304" s="323">
        <v>341</v>
      </c>
      <c r="CP304" s="329" t="s">
        <v>934</v>
      </c>
      <c r="CQ304" s="330">
        <v>0</v>
      </c>
      <c r="CR304" s="330">
        <v>0</v>
      </c>
      <c r="CS304" s="330">
        <v>0</v>
      </c>
      <c r="CT304" s="330">
        <v>0</v>
      </c>
      <c r="CU304" s="330">
        <v>0</v>
      </c>
      <c r="CV304" s="330">
        <v>0</v>
      </c>
      <c r="CW304" s="330">
        <v>0</v>
      </c>
      <c r="CX304" s="330">
        <v>0</v>
      </c>
      <c r="CY304" s="328">
        <v>0</v>
      </c>
      <c r="CZ304" s="322" t="s">
        <v>934</v>
      </c>
      <c r="DA304" s="323">
        <v>0</v>
      </c>
      <c r="DB304" s="323">
        <v>0</v>
      </c>
      <c r="DC304" s="323">
        <v>0</v>
      </c>
      <c r="DD304" s="323">
        <v>0</v>
      </c>
      <c r="DE304" s="323">
        <v>0</v>
      </c>
      <c r="DF304" s="323">
        <v>0</v>
      </c>
      <c r="DG304" s="323">
        <v>0</v>
      </c>
      <c r="DH304" s="323">
        <v>0</v>
      </c>
      <c r="DI304" s="323">
        <v>0</v>
      </c>
      <c r="DJ304" s="337">
        <v>0</v>
      </c>
      <c r="DK304" s="644">
        <v>36733.2</v>
      </c>
      <c r="DL304" s="614">
        <v>786</v>
      </c>
      <c r="DM304" s="614">
        <v>1994</v>
      </c>
      <c r="DN304" s="614">
        <v>4681</v>
      </c>
      <c r="DO304" s="614">
        <v>8082</v>
      </c>
      <c r="DP304" s="614">
        <v>6954</v>
      </c>
      <c r="DQ304" s="614">
        <v>4554</v>
      </c>
      <c r="DR304" s="614">
        <v>5890</v>
      </c>
      <c r="DS304" s="615">
        <v>1099</v>
      </c>
      <c r="DT304" s="607">
        <f t="shared" si="4"/>
        <v>34040</v>
      </c>
      <c r="DU304" s="342"/>
      <c r="EC304" s="646"/>
      <c r="EF304" s="126"/>
      <c r="EG304" s="124"/>
    </row>
    <row r="305" spans="1:137" ht="15">
      <c r="A305" s="22">
        <v>297</v>
      </c>
      <c r="B305" s="23" t="s">
        <v>737</v>
      </c>
      <c r="C305" s="24" t="s">
        <v>738</v>
      </c>
      <c r="D305" s="613"/>
      <c r="E305" s="628">
        <v>6655</v>
      </c>
      <c r="F305" s="628">
        <v>14738</v>
      </c>
      <c r="G305" s="628">
        <v>9097</v>
      </c>
      <c r="H305" s="628">
        <v>6774</v>
      </c>
      <c r="I305" s="628">
        <v>5205</v>
      </c>
      <c r="J305" s="628">
        <v>3128</v>
      </c>
      <c r="K305" s="628">
        <v>1382</v>
      </c>
      <c r="L305" s="628">
        <v>89</v>
      </c>
      <c r="M305" s="627">
        <v>47068</v>
      </c>
      <c r="N305" s="322"/>
      <c r="O305" s="323">
        <v>277</v>
      </c>
      <c r="P305" s="323">
        <v>365</v>
      </c>
      <c r="Q305" s="323">
        <v>219</v>
      </c>
      <c r="R305" s="323">
        <v>150</v>
      </c>
      <c r="S305" s="323">
        <v>91</v>
      </c>
      <c r="T305" s="323">
        <v>44</v>
      </c>
      <c r="U305" s="323">
        <v>29</v>
      </c>
      <c r="V305" s="323">
        <v>8</v>
      </c>
      <c r="W305" s="323">
        <v>1183</v>
      </c>
      <c r="X305" s="329" t="s">
        <v>934</v>
      </c>
      <c r="Y305" s="330">
        <v>0</v>
      </c>
      <c r="Z305" s="330">
        <v>0</v>
      </c>
      <c r="AA305" s="330">
        <v>0</v>
      </c>
      <c r="AB305" s="330">
        <v>0</v>
      </c>
      <c r="AC305" s="330">
        <v>0</v>
      </c>
      <c r="AD305" s="330">
        <v>0</v>
      </c>
      <c r="AE305" s="330">
        <v>0</v>
      </c>
      <c r="AF305" s="330">
        <v>0</v>
      </c>
      <c r="AG305" s="328">
        <v>0</v>
      </c>
      <c r="AH305" s="329" t="s">
        <v>934</v>
      </c>
      <c r="AI305" s="184">
        <v>8</v>
      </c>
      <c r="AJ305" s="184">
        <v>58</v>
      </c>
      <c r="AK305" s="184">
        <v>52</v>
      </c>
      <c r="AL305" s="184">
        <v>45</v>
      </c>
      <c r="AM305" s="184">
        <v>39</v>
      </c>
      <c r="AN305" s="184">
        <v>33</v>
      </c>
      <c r="AO305" s="184">
        <v>19</v>
      </c>
      <c r="AP305" s="184">
        <v>22</v>
      </c>
      <c r="AQ305" s="336">
        <v>276</v>
      </c>
      <c r="AR305" s="323">
        <v>2</v>
      </c>
      <c r="AS305" s="323">
        <v>3928</v>
      </c>
      <c r="AT305" s="323">
        <v>5634</v>
      </c>
      <c r="AU305" s="323">
        <v>2832</v>
      </c>
      <c r="AV305" s="323">
        <v>1764</v>
      </c>
      <c r="AW305" s="323">
        <v>991</v>
      </c>
      <c r="AX305" s="323">
        <v>492</v>
      </c>
      <c r="AY305" s="323">
        <v>143</v>
      </c>
      <c r="AZ305" s="323">
        <v>5</v>
      </c>
      <c r="BA305" s="323">
        <v>15791</v>
      </c>
      <c r="BB305" s="331">
        <v>0</v>
      </c>
      <c r="BC305" s="330">
        <v>26</v>
      </c>
      <c r="BD305" s="330">
        <v>84</v>
      </c>
      <c r="BE305" s="330">
        <v>62</v>
      </c>
      <c r="BF305" s="330">
        <v>30</v>
      </c>
      <c r="BG305" s="330">
        <v>26</v>
      </c>
      <c r="BH305" s="330">
        <v>20</v>
      </c>
      <c r="BI305" s="330">
        <v>10</v>
      </c>
      <c r="BJ305" s="330">
        <v>0</v>
      </c>
      <c r="BK305" s="328">
        <v>258</v>
      </c>
      <c r="BL305" s="323">
        <v>0</v>
      </c>
      <c r="BM305" s="323">
        <v>6</v>
      </c>
      <c r="BN305" s="323">
        <v>9</v>
      </c>
      <c r="BO305" s="323">
        <v>8</v>
      </c>
      <c r="BP305" s="323">
        <v>8</v>
      </c>
      <c r="BQ305" s="323">
        <v>8</v>
      </c>
      <c r="BR305" s="323">
        <v>11</v>
      </c>
      <c r="BS305" s="323">
        <v>28</v>
      </c>
      <c r="BT305" s="323">
        <v>2</v>
      </c>
      <c r="BU305" s="323">
        <v>80</v>
      </c>
      <c r="BV305" s="329" t="s">
        <v>934</v>
      </c>
      <c r="BW305" s="330">
        <v>49</v>
      </c>
      <c r="BX305" s="330">
        <v>76</v>
      </c>
      <c r="BY305" s="330">
        <v>65</v>
      </c>
      <c r="BZ305" s="330">
        <v>42</v>
      </c>
      <c r="CA305" s="330">
        <v>40</v>
      </c>
      <c r="CB305" s="330">
        <v>26</v>
      </c>
      <c r="CC305" s="330">
        <v>9</v>
      </c>
      <c r="CD305" s="330">
        <v>3</v>
      </c>
      <c r="CE305" s="328">
        <v>310</v>
      </c>
      <c r="CF305" s="322" t="s">
        <v>934</v>
      </c>
      <c r="CG305" s="323">
        <v>0</v>
      </c>
      <c r="CH305" s="323">
        <v>0</v>
      </c>
      <c r="CI305" s="323">
        <v>0</v>
      </c>
      <c r="CJ305" s="323">
        <v>0</v>
      </c>
      <c r="CK305" s="323">
        <v>0</v>
      </c>
      <c r="CL305" s="323">
        <v>0</v>
      </c>
      <c r="CM305" s="323">
        <v>0</v>
      </c>
      <c r="CN305" s="323">
        <v>0</v>
      </c>
      <c r="CO305" s="323">
        <v>0</v>
      </c>
      <c r="CP305" s="329" t="s">
        <v>934</v>
      </c>
      <c r="CQ305" s="330">
        <v>0</v>
      </c>
      <c r="CR305" s="330">
        <v>0</v>
      </c>
      <c r="CS305" s="330">
        <v>0</v>
      </c>
      <c r="CT305" s="330">
        <v>0</v>
      </c>
      <c r="CU305" s="330">
        <v>0</v>
      </c>
      <c r="CV305" s="330">
        <v>0</v>
      </c>
      <c r="CW305" s="330">
        <v>0</v>
      </c>
      <c r="CX305" s="330">
        <v>0</v>
      </c>
      <c r="CY305" s="328">
        <v>0</v>
      </c>
      <c r="CZ305" s="322" t="s">
        <v>934</v>
      </c>
      <c r="DA305" s="323">
        <v>125</v>
      </c>
      <c r="DB305" s="323">
        <v>135</v>
      </c>
      <c r="DC305" s="323">
        <v>75</v>
      </c>
      <c r="DD305" s="323">
        <v>60</v>
      </c>
      <c r="DE305" s="323">
        <v>23</v>
      </c>
      <c r="DF305" s="323">
        <v>16</v>
      </c>
      <c r="DG305" s="323">
        <v>11</v>
      </c>
      <c r="DH305" s="323">
        <v>0</v>
      </c>
      <c r="DI305" s="323">
        <v>445</v>
      </c>
      <c r="DJ305" s="337">
        <v>112.1</v>
      </c>
      <c r="DK305" s="644">
        <v>39462.2</v>
      </c>
      <c r="DL305" s="614">
        <v>6764</v>
      </c>
      <c r="DM305" s="614">
        <v>14797</v>
      </c>
      <c r="DN305" s="614">
        <v>9122</v>
      </c>
      <c r="DO305" s="614">
        <v>6819</v>
      </c>
      <c r="DP305" s="614">
        <v>5219</v>
      </c>
      <c r="DQ305" s="614">
        <v>3148</v>
      </c>
      <c r="DR305" s="614">
        <v>1392</v>
      </c>
      <c r="DS305" s="615">
        <v>87</v>
      </c>
      <c r="DT305" s="607">
        <f t="shared" si="4"/>
        <v>47348</v>
      </c>
      <c r="DU305" s="342"/>
      <c r="EC305" s="646"/>
      <c r="EF305" s="126"/>
      <c r="EG305" s="124"/>
    </row>
    <row r="306" spans="1:137" ht="15">
      <c r="A306" s="22">
        <v>298</v>
      </c>
      <c r="B306" s="23" t="s">
        <v>739</v>
      </c>
      <c r="C306" s="24" t="s">
        <v>740</v>
      </c>
      <c r="D306" s="613"/>
      <c r="E306" s="629">
        <v>3446</v>
      </c>
      <c r="F306" s="629">
        <v>2676</v>
      </c>
      <c r="G306" s="641">
        <v>1932</v>
      </c>
      <c r="H306" s="641">
        <v>1671</v>
      </c>
      <c r="I306" s="629">
        <v>1217</v>
      </c>
      <c r="J306" s="629">
        <v>532</v>
      </c>
      <c r="K306" s="629">
        <v>228</v>
      </c>
      <c r="L306" s="629">
        <v>28</v>
      </c>
      <c r="M306" s="627">
        <v>11730</v>
      </c>
      <c r="N306" s="322"/>
      <c r="O306" s="323">
        <v>120</v>
      </c>
      <c r="P306" s="323">
        <v>76</v>
      </c>
      <c r="Q306" s="323">
        <v>49</v>
      </c>
      <c r="R306" s="323">
        <v>48</v>
      </c>
      <c r="S306" s="323">
        <v>32</v>
      </c>
      <c r="T306" s="323">
        <v>4</v>
      </c>
      <c r="U306" s="323">
        <v>6</v>
      </c>
      <c r="V306" s="323">
        <v>1</v>
      </c>
      <c r="W306" s="323">
        <v>336</v>
      </c>
      <c r="X306" s="329" t="s">
        <v>934</v>
      </c>
      <c r="Y306" s="330">
        <v>0</v>
      </c>
      <c r="Z306" s="330">
        <v>0</v>
      </c>
      <c r="AA306" s="330">
        <v>0</v>
      </c>
      <c r="AB306" s="330">
        <v>0</v>
      </c>
      <c r="AC306" s="330">
        <v>0</v>
      </c>
      <c r="AD306" s="330">
        <v>0</v>
      </c>
      <c r="AE306" s="330">
        <v>0</v>
      </c>
      <c r="AF306" s="330">
        <v>0</v>
      </c>
      <c r="AG306" s="328">
        <v>0</v>
      </c>
      <c r="AH306" s="329" t="s">
        <v>934</v>
      </c>
      <c r="AI306" s="184">
        <v>12</v>
      </c>
      <c r="AJ306" s="184">
        <v>19</v>
      </c>
      <c r="AK306" s="184">
        <v>14</v>
      </c>
      <c r="AL306" s="184">
        <v>8</v>
      </c>
      <c r="AM306" s="184">
        <v>12</v>
      </c>
      <c r="AN306" s="184">
        <v>4</v>
      </c>
      <c r="AO306" s="184">
        <v>3</v>
      </c>
      <c r="AP306" s="184">
        <v>4</v>
      </c>
      <c r="AQ306" s="336">
        <v>76</v>
      </c>
      <c r="AR306" s="323">
        <v>5</v>
      </c>
      <c r="AS306" s="323">
        <v>1615</v>
      </c>
      <c r="AT306" s="323">
        <v>974</v>
      </c>
      <c r="AU306" s="323">
        <v>553</v>
      </c>
      <c r="AV306" s="323">
        <v>374</v>
      </c>
      <c r="AW306" s="323">
        <v>228</v>
      </c>
      <c r="AX306" s="323">
        <v>80</v>
      </c>
      <c r="AY306" s="323">
        <v>38</v>
      </c>
      <c r="AZ306" s="323">
        <v>1</v>
      </c>
      <c r="BA306" s="323">
        <v>3868</v>
      </c>
      <c r="BB306" s="331">
        <v>0</v>
      </c>
      <c r="BC306" s="330">
        <v>22</v>
      </c>
      <c r="BD306" s="330">
        <v>21</v>
      </c>
      <c r="BE306" s="330">
        <v>9</v>
      </c>
      <c r="BF306" s="330">
        <v>12</v>
      </c>
      <c r="BG306" s="330">
        <v>5</v>
      </c>
      <c r="BH306" s="330">
        <v>0</v>
      </c>
      <c r="BI306" s="330">
        <v>0</v>
      </c>
      <c r="BJ306" s="330">
        <v>1</v>
      </c>
      <c r="BK306" s="328">
        <v>70</v>
      </c>
      <c r="BL306" s="323">
        <v>0</v>
      </c>
      <c r="BM306" s="323">
        <v>0</v>
      </c>
      <c r="BN306" s="323">
        <v>1</v>
      </c>
      <c r="BO306" s="323">
        <v>0</v>
      </c>
      <c r="BP306" s="323">
        <v>0</v>
      </c>
      <c r="BQ306" s="323">
        <v>0</v>
      </c>
      <c r="BR306" s="323">
        <v>1</v>
      </c>
      <c r="BS306" s="323">
        <v>5</v>
      </c>
      <c r="BT306" s="323">
        <v>3</v>
      </c>
      <c r="BU306" s="323">
        <v>10</v>
      </c>
      <c r="BV306" s="329" t="s">
        <v>934</v>
      </c>
      <c r="BW306" s="330">
        <v>46</v>
      </c>
      <c r="BX306" s="330">
        <v>51</v>
      </c>
      <c r="BY306" s="330">
        <v>33</v>
      </c>
      <c r="BZ306" s="330">
        <v>19</v>
      </c>
      <c r="CA306" s="330">
        <v>14</v>
      </c>
      <c r="CB306" s="330">
        <v>9</v>
      </c>
      <c r="CC306" s="330">
        <v>6</v>
      </c>
      <c r="CD306" s="330">
        <v>2</v>
      </c>
      <c r="CE306" s="328">
        <v>180</v>
      </c>
      <c r="CF306" s="322" t="s">
        <v>934</v>
      </c>
      <c r="CG306" s="323">
        <v>173</v>
      </c>
      <c r="CH306" s="323">
        <v>82</v>
      </c>
      <c r="CI306" s="323">
        <v>67</v>
      </c>
      <c r="CJ306" s="323">
        <v>32</v>
      </c>
      <c r="CK306" s="323">
        <v>34</v>
      </c>
      <c r="CL306" s="323">
        <v>9</v>
      </c>
      <c r="CM306" s="323">
        <v>5</v>
      </c>
      <c r="CN306" s="323">
        <v>1</v>
      </c>
      <c r="CO306" s="323">
        <v>403</v>
      </c>
      <c r="CP306" s="329" t="s">
        <v>934</v>
      </c>
      <c r="CQ306" s="330">
        <v>0</v>
      </c>
      <c r="CR306" s="330">
        <v>0</v>
      </c>
      <c r="CS306" s="330">
        <v>0</v>
      </c>
      <c r="CT306" s="330">
        <v>0</v>
      </c>
      <c r="CU306" s="330">
        <v>0</v>
      </c>
      <c r="CV306" s="330">
        <v>0</v>
      </c>
      <c r="CW306" s="330">
        <v>0</v>
      </c>
      <c r="CX306" s="330">
        <v>0</v>
      </c>
      <c r="CY306" s="328">
        <v>0</v>
      </c>
      <c r="CZ306" s="322" t="s">
        <v>934</v>
      </c>
      <c r="DA306" s="323">
        <v>0</v>
      </c>
      <c r="DB306" s="323">
        <v>0</v>
      </c>
      <c r="DC306" s="323">
        <v>0</v>
      </c>
      <c r="DD306" s="323">
        <v>0</v>
      </c>
      <c r="DE306" s="323">
        <v>0</v>
      </c>
      <c r="DF306" s="323">
        <v>0</v>
      </c>
      <c r="DG306" s="323">
        <v>0</v>
      </c>
      <c r="DH306" s="323">
        <v>0</v>
      </c>
      <c r="DI306" s="323">
        <v>0</v>
      </c>
      <c r="DJ306" s="337">
        <v>0</v>
      </c>
      <c r="DK306" s="644">
        <v>9097.2</v>
      </c>
      <c r="DL306" s="616">
        <v>3455</v>
      </c>
      <c r="DM306" s="616">
        <v>2697</v>
      </c>
      <c r="DN306" s="620">
        <v>1945</v>
      </c>
      <c r="DO306" s="620">
        <v>1675</v>
      </c>
      <c r="DP306" s="616">
        <v>1231</v>
      </c>
      <c r="DQ306" s="616">
        <v>533</v>
      </c>
      <c r="DR306" s="616">
        <v>225</v>
      </c>
      <c r="DS306" s="617">
        <v>27</v>
      </c>
      <c r="DT306" s="607">
        <f t="shared" si="4"/>
        <v>11788</v>
      </c>
      <c r="DU306" s="342"/>
      <c r="EC306" s="646"/>
      <c r="EF306" s="125"/>
      <c r="EG306" s="124"/>
    </row>
    <row r="307" spans="1:137" ht="15">
      <c r="A307" s="22">
        <v>299</v>
      </c>
      <c r="B307" s="23" t="s">
        <v>741</v>
      </c>
      <c r="C307" s="24" t="s">
        <v>742</v>
      </c>
      <c r="D307" s="613"/>
      <c r="E307" s="628">
        <v>7677</v>
      </c>
      <c r="F307" s="628">
        <v>12577</v>
      </c>
      <c r="G307" s="628">
        <v>12352</v>
      </c>
      <c r="H307" s="628">
        <v>10548</v>
      </c>
      <c r="I307" s="628">
        <v>7110</v>
      </c>
      <c r="J307" s="628">
        <v>3527</v>
      </c>
      <c r="K307" s="628">
        <v>1949</v>
      </c>
      <c r="L307" s="628">
        <v>109</v>
      </c>
      <c r="M307" s="627">
        <v>55849</v>
      </c>
      <c r="N307" s="322"/>
      <c r="O307" s="323">
        <v>393</v>
      </c>
      <c r="P307" s="323">
        <v>314</v>
      </c>
      <c r="Q307" s="323">
        <v>242</v>
      </c>
      <c r="R307" s="323">
        <v>172</v>
      </c>
      <c r="S307" s="323">
        <v>121</v>
      </c>
      <c r="T307" s="323">
        <v>33</v>
      </c>
      <c r="U307" s="323">
        <v>20</v>
      </c>
      <c r="V307" s="323">
        <v>3</v>
      </c>
      <c r="W307" s="323">
        <v>1298</v>
      </c>
      <c r="X307" s="329" t="s">
        <v>934</v>
      </c>
      <c r="Y307" s="330">
        <v>0</v>
      </c>
      <c r="Z307" s="330">
        <v>0</v>
      </c>
      <c r="AA307" s="330">
        <v>0</v>
      </c>
      <c r="AB307" s="330">
        <v>0</v>
      </c>
      <c r="AC307" s="330">
        <v>0</v>
      </c>
      <c r="AD307" s="330">
        <v>0</v>
      </c>
      <c r="AE307" s="330">
        <v>0</v>
      </c>
      <c r="AF307" s="330">
        <v>0</v>
      </c>
      <c r="AG307" s="328">
        <v>0</v>
      </c>
      <c r="AH307" s="329" t="s">
        <v>934</v>
      </c>
      <c r="AI307" s="184">
        <v>7</v>
      </c>
      <c r="AJ307" s="184">
        <v>58</v>
      </c>
      <c r="AK307" s="184">
        <v>79</v>
      </c>
      <c r="AL307" s="184">
        <v>78</v>
      </c>
      <c r="AM307" s="184">
        <v>56</v>
      </c>
      <c r="AN307" s="184">
        <v>43</v>
      </c>
      <c r="AO307" s="184">
        <v>51</v>
      </c>
      <c r="AP307" s="184">
        <v>12</v>
      </c>
      <c r="AQ307" s="336">
        <v>384</v>
      </c>
      <c r="AR307" s="323">
        <v>3</v>
      </c>
      <c r="AS307" s="323">
        <v>4060</v>
      </c>
      <c r="AT307" s="323">
        <v>4657</v>
      </c>
      <c r="AU307" s="323">
        <v>3774</v>
      </c>
      <c r="AV307" s="323">
        <v>2636</v>
      </c>
      <c r="AW307" s="323">
        <v>1336</v>
      </c>
      <c r="AX307" s="323">
        <v>514</v>
      </c>
      <c r="AY307" s="323">
        <v>259</v>
      </c>
      <c r="AZ307" s="323">
        <v>1</v>
      </c>
      <c r="BA307" s="323">
        <v>17240</v>
      </c>
      <c r="BB307" s="331">
        <v>0</v>
      </c>
      <c r="BC307" s="330">
        <v>42</v>
      </c>
      <c r="BD307" s="330">
        <v>112</v>
      </c>
      <c r="BE307" s="330">
        <v>94</v>
      </c>
      <c r="BF307" s="330">
        <v>89</v>
      </c>
      <c r="BG307" s="330">
        <v>52</v>
      </c>
      <c r="BH307" s="330">
        <v>20</v>
      </c>
      <c r="BI307" s="330">
        <v>9</v>
      </c>
      <c r="BJ307" s="330">
        <v>2</v>
      </c>
      <c r="BK307" s="328">
        <v>420</v>
      </c>
      <c r="BL307" s="323">
        <v>0</v>
      </c>
      <c r="BM307" s="323">
        <v>7</v>
      </c>
      <c r="BN307" s="323">
        <v>4</v>
      </c>
      <c r="BO307" s="323">
        <v>15</v>
      </c>
      <c r="BP307" s="323">
        <v>12</v>
      </c>
      <c r="BQ307" s="323">
        <v>15</v>
      </c>
      <c r="BR307" s="323">
        <v>41</v>
      </c>
      <c r="BS307" s="323">
        <v>29</v>
      </c>
      <c r="BT307" s="323">
        <v>10</v>
      </c>
      <c r="BU307" s="323">
        <v>133</v>
      </c>
      <c r="BV307" s="329" t="s">
        <v>934</v>
      </c>
      <c r="BW307" s="330">
        <v>270</v>
      </c>
      <c r="BX307" s="330">
        <v>231</v>
      </c>
      <c r="BY307" s="330">
        <v>244</v>
      </c>
      <c r="BZ307" s="330">
        <v>203</v>
      </c>
      <c r="CA307" s="330">
        <v>121</v>
      </c>
      <c r="CB307" s="330">
        <v>71</v>
      </c>
      <c r="CC307" s="330">
        <v>55</v>
      </c>
      <c r="CD307" s="330">
        <v>8</v>
      </c>
      <c r="CE307" s="328">
        <v>1203</v>
      </c>
      <c r="CF307" s="322" t="s">
        <v>934</v>
      </c>
      <c r="CG307" s="323">
        <v>0</v>
      </c>
      <c r="CH307" s="323">
        <v>0</v>
      </c>
      <c r="CI307" s="323">
        <v>0</v>
      </c>
      <c r="CJ307" s="323">
        <v>0</v>
      </c>
      <c r="CK307" s="323">
        <v>0</v>
      </c>
      <c r="CL307" s="323">
        <v>0</v>
      </c>
      <c r="CM307" s="323">
        <v>0</v>
      </c>
      <c r="CN307" s="323">
        <v>0</v>
      </c>
      <c r="CO307" s="323">
        <v>0</v>
      </c>
      <c r="CP307" s="329" t="s">
        <v>934</v>
      </c>
      <c r="CQ307" s="330">
        <v>175</v>
      </c>
      <c r="CR307" s="330">
        <v>112</v>
      </c>
      <c r="CS307" s="330">
        <v>115</v>
      </c>
      <c r="CT307" s="330">
        <v>80</v>
      </c>
      <c r="CU307" s="330">
        <v>59</v>
      </c>
      <c r="CV307" s="330">
        <v>28</v>
      </c>
      <c r="CW307" s="330">
        <v>13</v>
      </c>
      <c r="CX307" s="330">
        <v>2</v>
      </c>
      <c r="CY307" s="328">
        <v>584</v>
      </c>
      <c r="CZ307" s="322" t="s">
        <v>934</v>
      </c>
      <c r="DA307" s="323">
        <v>0</v>
      </c>
      <c r="DB307" s="323">
        <v>0</v>
      </c>
      <c r="DC307" s="323">
        <v>0</v>
      </c>
      <c r="DD307" s="323">
        <v>0</v>
      </c>
      <c r="DE307" s="323">
        <v>0</v>
      </c>
      <c r="DF307" s="323">
        <v>0</v>
      </c>
      <c r="DG307" s="323">
        <v>0</v>
      </c>
      <c r="DH307" s="323">
        <v>0</v>
      </c>
      <c r="DI307" s="323">
        <v>0</v>
      </c>
      <c r="DJ307" s="337">
        <v>1.6</v>
      </c>
      <c r="DK307" s="644">
        <v>47949.3</v>
      </c>
      <c r="DL307" s="614">
        <v>7752</v>
      </c>
      <c r="DM307" s="614">
        <v>12662</v>
      </c>
      <c r="DN307" s="614">
        <v>12445</v>
      </c>
      <c r="DO307" s="614">
        <v>10620</v>
      </c>
      <c r="DP307" s="614">
        <v>7162</v>
      </c>
      <c r="DQ307" s="614">
        <v>3542</v>
      </c>
      <c r="DR307" s="614">
        <v>1967</v>
      </c>
      <c r="DS307" s="615">
        <v>111</v>
      </c>
      <c r="DT307" s="607">
        <f t="shared" si="4"/>
        <v>56261</v>
      </c>
      <c r="DU307" s="342"/>
      <c r="EC307" s="646"/>
      <c r="EF307" s="126"/>
      <c r="EG307" s="124"/>
    </row>
    <row r="308" spans="1:137" ht="15">
      <c r="A308" s="22">
        <v>300</v>
      </c>
      <c r="B308" s="23" t="s">
        <v>743</v>
      </c>
      <c r="C308" s="24" t="s">
        <v>744</v>
      </c>
      <c r="D308" s="613"/>
      <c r="E308" s="628">
        <v>25520</v>
      </c>
      <c r="F308" s="628">
        <v>17477</v>
      </c>
      <c r="G308" s="628">
        <v>9640</v>
      </c>
      <c r="H308" s="628">
        <v>7282</v>
      </c>
      <c r="I308" s="628">
        <v>4138</v>
      </c>
      <c r="J308" s="628">
        <v>1909</v>
      </c>
      <c r="K308" s="628">
        <v>934</v>
      </c>
      <c r="L308" s="628">
        <v>44</v>
      </c>
      <c r="M308" s="627">
        <v>66944</v>
      </c>
      <c r="N308" s="322"/>
      <c r="O308" s="323">
        <v>768</v>
      </c>
      <c r="P308" s="323">
        <v>420</v>
      </c>
      <c r="Q308" s="323">
        <v>335</v>
      </c>
      <c r="R308" s="323">
        <v>135</v>
      </c>
      <c r="S308" s="323">
        <v>65</v>
      </c>
      <c r="T308" s="323">
        <v>34</v>
      </c>
      <c r="U308" s="323">
        <v>25</v>
      </c>
      <c r="V308" s="323">
        <v>4</v>
      </c>
      <c r="W308" s="323">
        <v>1786</v>
      </c>
      <c r="X308" s="329" t="s">
        <v>934</v>
      </c>
      <c r="Y308" s="330">
        <v>0</v>
      </c>
      <c r="Z308" s="330">
        <v>0</v>
      </c>
      <c r="AA308" s="330">
        <v>0</v>
      </c>
      <c r="AB308" s="330">
        <v>0</v>
      </c>
      <c r="AC308" s="330">
        <v>0</v>
      </c>
      <c r="AD308" s="330">
        <v>0</v>
      </c>
      <c r="AE308" s="330">
        <v>0</v>
      </c>
      <c r="AF308" s="330">
        <v>0</v>
      </c>
      <c r="AG308" s="328">
        <v>0</v>
      </c>
      <c r="AH308" s="329" t="s">
        <v>934</v>
      </c>
      <c r="AI308" s="184">
        <v>105</v>
      </c>
      <c r="AJ308" s="184">
        <v>145</v>
      </c>
      <c r="AK308" s="184">
        <v>77</v>
      </c>
      <c r="AL308" s="184">
        <v>86</v>
      </c>
      <c r="AM308" s="184">
        <v>56</v>
      </c>
      <c r="AN308" s="184">
        <v>18</v>
      </c>
      <c r="AO308" s="184">
        <v>13</v>
      </c>
      <c r="AP308" s="184">
        <v>6</v>
      </c>
      <c r="AQ308" s="336">
        <v>506</v>
      </c>
      <c r="AR308" s="323">
        <v>18</v>
      </c>
      <c r="AS308" s="323">
        <v>11135</v>
      </c>
      <c r="AT308" s="323">
        <v>5411</v>
      </c>
      <c r="AU308" s="323">
        <v>2260</v>
      </c>
      <c r="AV308" s="323">
        <v>1071</v>
      </c>
      <c r="AW308" s="323">
        <v>489</v>
      </c>
      <c r="AX308" s="323">
        <v>175</v>
      </c>
      <c r="AY308" s="323">
        <v>79</v>
      </c>
      <c r="AZ308" s="323">
        <v>3</v>
      </c>
      <c r="BA308" s="323">
        <v>20641</v>
      </c>
      <c r="BB308" s="331">
        <v>2</v>
      </c>
      <c r="BC308" s="330">
        <v>211</v>
      </c>
      <c r="BD308" s="330">
        <v>173</v>
      </c>
      <c r="BE308" s="330">
        <v>88</v>
      </c>
      <c r="BF308" s="330">
        <v>69</v>
      </c>
      <c r="BG308" s="330">
        <v>27</v>
      </c>
      <c r="BH308" s="330">
        <v>13</v>
      </c>
      <c r="BI308" s="330">
        <v>2</v>
      </c>
      <c r="BJ308" s="330">
        <v>0</v>
      </c>
      <c r="BK308" s="328">
        <v>585</v>
      </c>
      <c r="BL308" s="323">
        <v>2</v>
      </c>
      <c r="BM308" s="323">
        <v>9</v>
      </c>
      <c r="BN308" s="323">
        <v>10</v>
      </c>
      <c r="BO308" s="323">
        <v>10</v>
      </c>
      <c r="BP308" s="323">
        <v>9</v>
      </c>
      <c r="BQ308" s="323">
        <v>4</v>
      </c>
      <c r="BR308" s="323">
        <v>3</v>
      </c>
      <c r="BS308" s="323">
        <v>7</v>
      </c>
      <c r="BT308" s="323">
        <v>1</v>
      </c>
      <c r="BU308" s="323">
        <v>55</v>
      </c>
      <c r="BV308" s="329" t="s">
        <v>934</v>
      </c>
      <c r="BW308" s="330">
        <v>74</v>
      </c>
      <c r="BX308" s="330">
        <v>55</v>
      </c>
      <c r="BY308" s="330">
        <v>32</v>
      </c>
      <c r="BZ308" s="330">
        <v>20</v>
      </c>
      <c r="CA308" s="330">
        <v>9</v>
      </c>
      <c r="CB308" s="330">
        <v>8</v>
      </c>
      <c r="CC308" s="330">
        <v>5</v>
      </c>
      <c r="CD308" s="330">
        <v>1</v>
      </c>
      <c r="CE308" s="328">
        <v>204</v>
      </c>
      <c r="CF308" s="322" t="s">
        <v>934</v>
      </c>
      <c r="CG308" s="323">
        <v>5</v>
      </c>
      <c r="CH308" s="323">
        <v>4</v>
      </c>
      <c r="CI308" s="323">
        <v>3</v>
      </c>
      <c r="CJ308" s="323">
        <v>2</v>
      </c>
      <c r="CK308" s="323">
        <v>0</v>
      </c>
      <c r="CL308" s="323">
        <v>4</v>
      </c>
      <c r="CM308" s="323">
        <v>5</v>
      </c>
      <c r="CN308" s="323">
        <v>1</v>
      </c>
      <c r="CO308" s="323">
        <v>24</v>
      </c>
      <c r="CP308" s="329" t="s">
        <v>934</v>
      </c>
      <c r="CQ308" s="330">
        <v>214</v>
      </c>
      <c r="CR308" s="330">
        <v>41</v>
      </c>
      <c r="CS308" s="330">
        <v>31</v>
      </c>
      <c r="CT308" s="330">
        <v>18</v>
      </c>
      <c r="CU308" s="330">
        <v>5</v>
      </c>
      <c r="CV308" s="330">
        <v>4</v>
      </c>
      <c r="CW308" s="330">
        <v>3</v>
      </c>
      <c r="CX308" s="330">
        <v>1</v>
      </c>
      <c r="CY308" s="328">
        <v>317</v>
      </c>
      <c r="CZ308" s="322" t="s">
        <v>934</v>
      </c>
      <c r="DA308" s="323">
        <v>0</v>
      </c>
      <c r="DB308" s="323">
        <v>0</v>
      </c>
      <c r="DC308" s="323">
        <v>0</v>
      </c>
      <c r="DD308" s="323">
        <v>0</v>
      </c>
      <c r="DE308" s="323">
        <v>0</v>
      </c>
      <c r="DF308" s="323">
        <v>0</v>
      </c>
      <c r="DG308" s="323">
        <v>0</v>
      </c>
      <c r="DH308" s="323">
        <v>0</v>
      </c>
      <c r="DI308" s="323">
        <v>0</v>
      </c>
      <c r="DJ308" s="337">
        <v>183.9</v>
      </c>
      <c r="DK308" s="644">
        <v>50408.9</v>
      </c>
      <c r="DL308" s="614">
        <v>25593</v>
      </c>
      <c r="DM308" s="614">
        <v>17602</v>
      </c>
      <c r="DN308" s="614">
        <v>9652</v>
      </c>
      <c r="DO308" s="614">
        <v>7319</v>
      </c>
      <c r="DP308" s="614">
        <v>4181</v>
      </c>
      <c r="DQ308" s="614">
        <v>1893</v>
      </c>
      <c r="DR308" s="614">
        <v>937</v>
      </c>
      <c r="DS308" s="615">
        <v>45</v>
      </c>
      <c r="DT308" s="607">
        <f t="shared" si="4"/>
        <v>67222</v>
      </c>
      <c r="DU308" s="342"/>
      <c r="EC308" s="646"/>
      <c r="EF308" s="123"/>
      <c r="EG308" s="124"/>
    </row>
    <row r="309" spans="1:137" ht="15">
      <c r="A309" s="22">
        <v>301</v>
      </c>
      <c r="B309" s="23" t="s">
        <v>745</v>
      </c>
      <c r="C309" s="24" t="s">
        <v>746</v>
      </c>
      <c r="D309" s="613"/>
      <c r="E309" s="628">
        <v>11988</v>
      </c>
      <c r="F309" s="628">
        <v>16805</v>
      </c>
      <c r="G309" s="628">
        <v>20195</v>
      </c>
      <c r="H309" s="628">
        <v>9910</v>
      </c>
      <c r="I309" s="628">
        <v>4578</v>
      </c>
      <c r="J309" s="628">
        <v>1548</v>
      </c>
      <c r="K309" s="628">
        <v>774</v>
      </c>
      <c r="L309" s="628">
        <v>82</v>
      </c>
      <c r="M309" s="627">
        <v>65880</v>
      </c>
      <c r="N309" s="322"/>
      <c r="O309" s="323">
        <v>614</v>
      </c>
      <c r="P309" s="323">
        <v>421</v>
      </c>
      <c r="Q309" s="323">
        <v>453</v>
      </c>
      <c r="R309" s="323">
        <v>190</v>
      </c>
      <c r="S309" s="323">
        <v>80</v>
      </c>
      <c r="T309" s="323">
        <v>23</v>
      </c>
      <c r="U309" s="323">
        <v>10</v>
      </c>
      <c r="V309" s="323">
        <v>0</v>
      </c>
      <c r="W309" s="323">
        <v>1791</v>
      </c>
      <c r="X309" s="329" t="s">
        <v>934</v>
      </c>
      <c r="Y309" s="330">
        <v>0</v>
      </c>
      <c r="Z309" s="330">
        <v>0</v>
      </c>
      <c r="AA309" s="330">
        <v>0</v>
      </c>
      <c r="AB309" s="330">
        <v>0</v>
      </c>
      <c r="AC309" s="330">
        <v>0</v>
      </c>
      <c r="AD309" s="330">
        <v>0</v>
      </c>
      <c r="AE309" s="330">
        <v>0</v>
      </c>
      <c r="AF309" s="330">
        <v>0</v>
      </c>
      <c r="AG309" s="328">
        <v>0</v>
      </c>
      <c r="AH309" s="329" t="s">
        <v>934</v>
      </c>
      <c r="AI309" s="184">
        <v>9</v>
      </c>
      <c r="AJ309" s="184">
        <v>39</v>
      </c>
      <c r="AK309" s="184">
        <v>105</v>
      </c>
      <c r="AL309" s="184">
        <v>66</v>
      </c>
      <c r="AM309" s="184">
        <v>46</v>
      </c>
      <c r="AN309" s="184">
        <v>21</v>
      </c>
      <c r="AO309" s="184">
        <v>28</v>
      </c>
      <c r="AP309" s="184">
        <v>27</v>
      </c>
      <c r="AQ309" s="336">
        <v>341</v>
      </c>
      <c r="AR309" s="323">
        <v>4</v>
      </c>
      <c r="AS309" s="323">
        <v>6258</v>
      </c>
      <c r="AT309" s="323">
        <v>6448</v>
      </c>
      <c r="AU309" s="323">
        <v>6302</v>
      </c>
      <c r="AV309" s="323">
        <v>2330</v>
      </c>
      <c r="AW309" s="323">
        <v>747</v>
      </c>
      <c r="AX309" s="323">
        <v>247</v>
      </c>
      <c r="AY309" s="323">
        <v>100</v>
      </c>
      <c r="AZ309" s="323">
        <v>3</v>
      </c>
      <c r="BA309" s="323">
        <v>22439</v>
      </c>
      <c r="BB309" s="331">
        <v>0</v>
      </c>
      <c r="BC309" s="330">
        <v>42</v>
      </c>
      <c r="BD309" s="330">
        <v>105</v>
      </c>
      <c r="BE309" s="330">
        <v>142</v>
      </c>
      <c r="BF309" s="330">
        <v>86</v>
      </c>
      <c r="BG309" s="330">
        <v>35</v>
      </c>
      <c r="BH309" s="330">
        <v>10</v>
      </c>
      <c r="BI309" s="330">
        <v>3</v>
      </c>
      <c r="BJ309" s="330">
        <v>0</v>
      </c>
      <c r="BK309" s="328">
        <v>423</v>
      </c>
      <c r="BL309" s="323">
        <v>0</v>
      </c>
      <c r="BM309" s="323">
        <v>8</v>
      </c>
      <c r="BN309" s="323">
        <v>11</v>
      </c>
      <c r="BO309" s="323">
        <v>27</v>
      </c>
      <c r="BP309" s="323">
        <v>31</v>
      </c>
      <c r="BQ309" s="323">
        <v>32</v>
      </c>
      <c r="BR309" s="323">
        <v>25</v>
      </c>
      <c r="BS309" s="323">
        <v>42</v>
      </c>
      <c r="BT309" s="323">
        <v>9</v>
      </c>
      <c r="BU309" s="323">
        <v>185</v>
      </c>
      <c r="BV309" s="329" t="s">
        <v>934</v>
      </c>
      <c r="BW309" s="330">
        <v>775</v>
      </c>
      <c r="BX309" s="330">
        <v>345</v>
      </c>
      <c r="BY309" s="330">
        <v>371</v>
      </c>
      <c r="BZ309" s="330">
        <v>190</v>
      </c>
      <c r="CA309" s="330">
        <v>90</v>
      </c>
      <c r="CB309" s="330">
        <v>37</v>
      </c>
      <c r="CC309" s="330">
        <v>24</v>
      </c>
      <c r="CD309" s="330">
        <v>2</v>
      </c>
      <c r="CE309" s="328">
        <v>1834</v>
      </c>
      <c r="CF309" s="322" t="s">
        <v>934</v>
      </c>
      <c r="CG309" s="323">
        <v>1</v>
      </c>
      <c r="CH309" s="323">
        <v>0</v>
      </c>
      <c r="CI309" s="323">
        <v>0</v>
      </c>
      <c r="CJ309" s="323">
        <v>0</v>
      </c>
      <c r="CK309" s="323">
        <v>0</v>
      </c>
      <c r="CL309" s="323">
        <v>0</v>
      </c>
      <c r="CM309" s="323">
        <v>0</v>
      </c>
      <c r="CN309" s="323">
        <v>0</v>
      </c>
      <c r="CO309" s="323">
        <v>1</v>
      </c>
      <c r="CP309" s="329" t="s">
        <v>934</v>
      </c>
      <c r="CQ309" s="330">
        <v>0</v>
      </c>
      <c r="CR309" s="330">
        <v>0</v>
      </c>
      <c r="CS309" s="330">
        <v>0</v>
      </c>
      <c r="CT309" s="330">
        <v>0</v>
      </c>
      <c r="CU309" s="330">
        <v>0</v>
      </c>
      <c r="CV309" s="330">
        <v>0</v>
      </c>
      <c r="CW309" s="330">
        <v>0</v>
      </c>
      <c r="CX309" s="330">
        <v>0</v>
      </c>
      <c r="CY309" s="328">
        <v>0</v>
      </c>
      <c r="CZ309" s="322" t="s">
        <v>934</v>
      </c>
      <c r="DA309" s="323">
        <v>410</v>
      </c>
      <c r="DB309" s="323">
        <v>287</v>
      </c>
      <c r="DC309" s="323">
        <v>274</v>
      </c>
      <c r="DD309" s="323">
        <v>147</v>
      </c>
      <c r="DE309" s="323">
        <v>70</v>
      </c>
      <c r="DF309" s="323">
        <v>18</v>
      </c>
      <c r="DG309" s="323">
        <v>17</v>
      </c>
      <c r="DH309" s="323">
        <v>1</v>
      </c>
      <c r="DI309" s="323">
        <v>1224</v>
      </c>
      <c r="DJ309" s="337">
        <v>0</v>
      </c>
      <c r="DK309" s="644">
        <v>50965</v>
      </c>
      <c r="DL309" s="614">
        <v>12135</v>
      </c>
      <c r="DM309" s="614">
        <v>16871</v>
      </c>
      <c r="DN309" s="614">
        <v>20346</v>
      </c>
      <c r="DO309" s="614">
        <v>10038</v>
      </c>
      <c r="DP309" s="614">
        <v>4626</v>
      </c>
      <c r="DQ309" s="614">
        <v>1561</v>
      </c>
      <c r="DR309" s="614">
        <v>778</v>
      </c>
      <c r="DS309" s="615">
        <v>82</v>
      </c>
      <c r="DT309" s="607">
        <f t="shared" si="4"/>
        <v>66437</v>
      </c>
      <c r="DU309" s="342"/>
      <c r="EC309" s="646"/>
      <c r="EF309" s="126"/>
      <c r="EG309" s="124"/>
    </row>
    <row r="310" spans="1:137" ht="15">
      <c r="A310" s="22">
        <v>302</v>
      </c>
      <c r="B310" s="23" t="s">
        <v>747</v>
      </c>
      <c r="C310" s="24" t="s">
        <v>748</v>
      </c>
      <c r="D310" s="613"/>
      <c r="E310" s="628">
        <v>2390</v>
      </c>
      <c r="F310" s="628">
        <v>7696</v>
      </c>
      <c r="G310" s="628">
        <v>12690</v>
      </c>
      <c r="H310" s="628">
        <v>8805</v>
      </c>
      <c r="I310" s="628">
        <v>7614</v>
      </c>
      <c r="J310" s="628">
        <v>4386</v>
      </c>
      <c r="K310" s="628">
        <v>3305</v>
      </c>
      <c r="L310" s="628">
        <v>415</v>
      </c>
      <c r="M310" s="627">
        <v>47301</v>
      </c>
      <c r="N310" s="322"/>
      <c r="O310" s="323">
        <v>127</v>
      </c>
      <c r="P310" s="323">
        <v>159</v>
      </c>
      <c r="Q310" s="323">
        <v>581</v>
      </c>
      <c r="R310" s="323">
        <v>228</v>
      </c>
      <c r="S310" s="323">
        <v>135</v>
      </c>
      <c r="T310" s="323">
        <v>52</v>
      </c>
      <c r="U310" s="323">
        <v>69</v>
      </c>
      <c r="V310" s="323">
        <v>5</v>
      </c>
      <c r="W310" s="323">
        <v>1356</v>
      </c>
      <c r="X310" s="329" t="s">
        <v>934</v>
      </c>
      <c r="Y310" s="330">
        <v>1</v>
      </c>
      <c r="Z310" s="330">
        <v>1</v>
      </c>
      <c r="AA310" s="330">
        <v>8</v>
      </c>
      <c r="AB310" s="330">
        <v>2</v>
      </c>
      <c r="AC310" s="330">
        <v>1</v>
      </c>
      <c r="AD310" s="330">
        <v>1</v>
      </c>
      <c r="AE310" s="330">
        <v>0</v>
      </c>
      <c r="AF310" s="330">
        <v>0</v>
      </c>
      <c r="AG310" s="328">
        <v>14</v>
      </c>
      <c r="AH310" s="329" t="s">
        <v>934</v>
      </c>
      <c r="AI310" s="184">
        <v>2</v>
      </c>
      <c r="AJ310" s="184">
        <v>25</v>
      </c>
      <c r="AK310" s="184">
        <v>81</v>
      </c>
      <c r="AL310" s="184">
        <v>52</v>
      </c>
      <c r="AM310" s="184">
        <v>50</v>
      </c>
      <c r="AN310" s="184">
        <v>28</v>
      </c>
      <c r="AO310" s="184">
        <v>29</v>
      </c>
      <c r="AP310" s="184">
        <v>12</v>
      </c>
      <c r="AQ310" s="336">
        <v>279</v>
      </c>
      <c r="AR310" s="323">
        <v>1</v>
      </c>
      <c r="AS310" s="323">
        <v>1260</v>
      </c>
      <c r="AT310" s="323">
        <v>3473</v>
      </c>
      <c r="AU310" s="323">
        <v>3794</v>
      </c>
      <c r="AV310" s="323">
        <v>2125</v>
      </c>
      <c r="AW310" s="323">
        <v>1328</v>
      </c>
      <c r="AX310" s="323">
        <v>565</v>
      </c>
      <c r="AY310" s="323">
        <v>388</v>
      </c>
      <c r="AZ310" s="323">
        <v>29</v>
      </c>
      <c r="BA310" s="323">
        <v>12963</v>
      </c>
      <c r="BB310" s="331">
        <v>0</v>
      </c>
      <c r="BC310" s="330">
        <v>8</v>
      </c>
      <c r="BD310" s="330">
        <v>27</v>
      </c>
      <c r="BE310" s="330">
        <v>50</v>
      </c>
      <c r="BF310" s="330">
        <v>45</v>
      </c>
      <c r="BG310" s="330">
        <v>27</v>
      </c>
      <c r="BH310" s="330">
        <v>21</v>
      </c>
      <c r="BI310" s="330">
        <v>8</v>
      </c>
      <c r="BJ310" s="330">
        <v>0</v>
      </c>
      <c r="BK310" s="328">
        <v>186</v>
      </c>
      <c r="BL310" s="323">
        <v>0</v>
      </c>
      <c r="BM310" s="323">
        <v>0</v>
      </c>
      <c r="BN310" s="323">
        <v>18</v>
      </c>
      <c r="BO310" s="323">
        <v>7</v>
      </c>
      <c r="BP310" s="323">
        <v>7</v>
      </c>
      <c r="BQ310" s="323">
        <v>8</v>
      </c>
      <c r="BR310" s="323">
        <v>10</v>
      </c>
      <c r="BS310" s="323">
        <v>17</v>
      </c>
      <c r="BT310" s="323">
        <v>4</v>
      </c>
      <c r="BU310" s="323">
        <v>71</v>
      </c>
      <c r="BV310" s="329" t="s">
        <v>934</v>
      </c>
      <c r="BW310" s="330">
        <v>10</v>
      </c>
      <c r="BX310" s="330">
        <v>29</v>
      </c>
      <c r="BY310" s="330">
        <v>37</v>
      </c>
      <c r="BZ310" s="330">
        <v>34</v>
      </c>
      <c r="CA310" s="330">
        <v>38</v>
      </c>
      <c r="CB310" s="330">
        <v>23</v>
      </c>
      <c r="CC310" s="330">
        <v>59</v>
      </c>
      <c r="CD310" s="330">
        <v>19</v>
      </c>
      <c r="CE310" s="328">
        <v>249</v>
      </c>
      <c r="CF310" s="322" t="s">
        <v>934</v>
      </c>
      <c r="CG310" s="323">
        <v>67</v>
      </c>
      <c r="CH310" s="323">
        <v>53</v>
      </c>
      <c r="CI310" s="323">
        <v>56</v>
      </c>
      <c r="CJ310" s="323">
        <v>58</v>
      </c>
      <c r="CK310" s="323">
        <v>40</v>
      </c>
      <c r="CL310" s="323">
        <v>18</v>
      </c>
      <c r="CM310" s="323">
        <v>14</v>
      </c>
      <c r="CN310" s="323">
        <v>4</v>
      </c>
      <c r="CO310" s="323">
        <v>310</v>
      </c>
      <c r="CP310" s="329" t="s">
        <v>934</v>
      </c>
      <c r="CQ310" s="330">
        <v>0</v>
      </c>
      <c r="CR310" s="330">
        <v>0</v>
      </c>
      <c r="CS310" s="330">
        <v>0</v>
      </c>
      <c r="CT310" s="330">
        <v>0</v>
      </c>
      <c r="CU310" s="330">
        <v>0</v>
      </c>
      <c r="CV310" s="330">
        <v>0</v>
      </c>
      <c r="CW310" s="330">
        <v>0</v>
      </c>
      <c r="CX310" s="330">
        <v>0</v>
      </c>
      <c r="CY310" s="328">
        <v>0</v>
      </c>
      <c r="CZ310" s="322" t="s">
        <v>934</v>
      </c>
      <c r="DA310" s="323">
        <v>0</v>
      </c>
      <c r="DB310" s="323">
        <v>0</v>
      </c>
      <c r="DC310" s="323">
        <v>0</v>
      </c>
      <c r="DD310" s="323">
        <v>0</v>
      </c>
      <c r="DE310" s="323">
        <v>0</v>
      </c>
      <c r="DF310" s="323">
        <v>0</v>
      </c>
      <c r="DG310" s="323">
        <v>0</v>
      </c>
      <c r="DH310" s="323">
        <v>0</v>
      </c>
      <c r="DI310" s="323">
        <v>0</v>
      </c>
      <c r="DJ310" s="337">
        <v>571.9</v>
      </c>
      <c r="DK310" s="644">
        <v>45395.1</v>
      </c>
      <c r="DL310" s="614">
        <v>2446</v>
      </c>
      <c r="DM310" s="614">
        <v>7818</v>
      </c>
      <c r="DN310" s="614">
        <v>12807</v>
      </c>
      <c r="DO310" s="614">
        <v>8854</v>
      </c>
      <c r="DP310" s="614">
        <v>7648</v>
      </c>
      <c r="DQ310" s="614">
        <v>4409</v>
      </c>
      <c r="DR310" s="614">
        <v>3333</v>
      </c>
      <c r="DS310" s="615">
        <v>427</v>
      </c>
      <c r="DT310" s="607">
        <f t="shared" si="4"/>
        <v>47742</v>
      </c>
      <c r="DU310" s="342"/>
      <c r="EC310" s="646"/>
      <c r="EF310" s="123"/>
      <c r="EG310" s="124"/>
    </row>
    <row r="311" spans="1:137" ht="15">
      <c r="A311" s="22">
        <v>303</v>
      </c>
      <c r="B311" s="23" t="s">
        <v>749</v>
      </c>
      <c r="C311" s="24" t="s">
        <v>750</v>
      </c>
      <c r="D311" s="613"/>
      <c r="E311" s="626">
        <v>5658</v>
      </c>
      <c r="F311" s="626">
        <v>5443</v>
      </c>
      <c r="G311" s="626">
        <v>9253</v>
      </c>
      <c r="H311" s="626">
        <v>5120</v>
      </c>
      <c r="I311" s="626">
        <v>4433</v>
      </c>
      <c r="J311" s="626">
        <v>2717</v>
      </c>
      <c r="K311" s="626">
        <v>1762</v>
      </c>
      <c r="L311" s="626">
        <v>177</v>
      </c>
      <c r="M311" s="631">
        <v>34563</v>
      </c>
      <c r="N311" s="322"/>
      <c r="O311" s="323">
        <v>266</v>
      </c>
      <c r="P311" s="323">
        <v>312</v>
      </c>
      <c r="Q311" s="323">
        <v>299</v>
      </c>
      <c r="R311" s="323">
        <v>116</v>
      </c>
      <c r="S311" s="323">
        <v>119</v>
      </c>
      <c r="T311" s="323">
        <v>37</v>
      </c>
      <c r="U311" s="323">
        <v>36</v>
      </c>
      <c r="V311" s="323">
        <v>10</v>
      </c>
      <c r="W311" s="323">
        <v>1195</v>
      </c>
      <c r="X311" s="329" t="s">
        <v>934</v>
      </c>
      <c r="Y311" s="330">
        <v>0</v>
      </c>
      <c r="Z311" s="330">
        <v>0</v>
      </c>
      <c r="AA311" s="330">
        <v>0</v>
      </c>
      <c r="AB311" s="330">
        <v>0</v>
      </c>
      <c r="AC311" s="330">
        <v>0</v>
      </c>
      <c r="AD311" s="330">
        <v>0</v>
      </c>
      <c r="AE311" s="330">
        <v>0</v>
      </c>
      <c r="AF311" s="330">
        <v>0</v>
      </c>
      <c r="AG311" s="328">
        <v>0</v>
      </c>
      <c r="AH311" s="329" t="s">
        <v>934</v>
      </c>
      <c r="AI311" s="184">
        <v>18</v>
      </c>
      <c r="AJ311" s="184">
        <v>26</v>
      </c>
      <c r="AK311" s="184">
        <v>59</v>
      </c>
      <c r="AL311" s="184">
        <v>52</v>
      </c>
      <c r="AM311" s="184">
        <v>48</v>
      </c>
      <c r="AN311" s="184">
        <v>32</v>
      </c>
      <c r="AO311" s="184">
        <v>21</v>
      </c>
      <c r="AP311" s="184">
        <v>2</v>
      </c>
      <c r="AQ311" s="336">
        <v>258</v>
      </c>
      <c r="AR311" s="323">
        <v>2</v>
      </c>
      <c r="AS311" s="323">
        <v>2919</v>
      </c>
      <c r="AT311" s="323">
        <v>2145</v>
      </c>
      <c r="AU311" s="323">
        <v>2774</v>
      </c>
      <c r="AV311" s="323">
        <v>1297</v>
      </c>
      <c r="AW311" s="323">
        <v>827</v>
      </c>
      <c r="AX311" s="323">
        <v>408</v>
      </c>
      <c r="AY311" s="323">
        <v>214</v>
      </c>
      <c r="AZ311" s="323">
        <v>20</v>
      </c>
      <c r="BA311" s="323">
        <v>10606</v>
      </c>
      <c r="BB311" s="331">
        <v>0</v>
      </c>
      <c r="BC311" s="330">
        <v>30</v>
      </c>
      <c r="BD311" s="330">
        <v>21</v>
      </c>
      <c r="BE311" s="330">
        <v>42</v>
      </c>
      <c r="BF311" s="330">
        <v>18</v>
      </c>
      <c r="BG311" s="330">
        <v>20</v>
      </c>
      <c r="BH311" s="330">
        <v>17</v>
      </c>
      <c r="BI311" s="330">
        <v>5</v>
      </c>
      <c r="BJ311" s="330">
        <v>1</v>
      </c>
      <c r="BK311" s="328">
        <v>154</v>
      </c>
      <c r="BL311" s="323">
        <v>0</v>
      </c>
      <c r="BM311" s="323">
        <v>6</v>
      </c>
      <c r="BN311" s="323">
        <v>0</v>
      </c>
      <c r="BO311" s="323">
        <v>5</v>
      </c>
      <c r="BP311" s="323">
        <v>2</v>
      </c>
      <c r="BQ311" s="323">
        <v>3</v>
      </c>
      <c r="BR311" s="323">
        <v>9</v>
      </c>
      <c r="BS311" s="323">
        <v>8</v>
      </c>
      <c r="BT311" s="323">
        <v>2</v>
      </c>
      <c r="BU311" s="323">
        <v>35</v>
      </c>
      <c r="BV311" s="329" t="s">
        <v>934</v>
      </c>
      <c r="BW311" s="330">
        <v>14</v>
      </c>
      <c r="BX311" s="330">
        <v>21</v>
      </c>
      <c r="BY311" s="330">
        <v>37</v>
      </c>
      <c r="BZ311" s="330">
        <v>39</v>
      </c>
      <c r="CA311" s="330">
        <v>34</v>
      </c>
      <c r="CB311" s="330">
        <v>17</v>
      </c>
      <c r="CC311" s="330">
        <v>32</v>
      </c>
      <c r="CD311" s="330">
        <v>6</v>
      </c>
      <c r="CE311" s="328">
        <v>200</v>
      </c>
      <c r="CF311" s="322" t="s">
        <v>934</v>
      </c>
      <c r="CG311" s="323">
        <v>1</v>
      </c>
      <c r="CH311" s="323">
        <v>0</v>
      </c>
      <c r="CI311" s="323">
        <v>0</v>
      </c>
      <c r="CJ311" s="323">
        <v>3</v>
      </c>
      <c r="CK311" s="323">
        <v>1</v>
      </c>
      <c r="CL311" s="323">
        <v>1</v>
      </c>
      <c r="CM311" s="323">
        <v>0</v>
      </c>
      <c r="CN311" s="323">
        <v>0</v>
      </c>
      <c r="CO311" s="323">
        <v>6</v>
      </c>
      <c r="CP311" s="329" t="s">
        <v>934</v>
      </c>
      <c r="CQ311" s="330">
        <v>64</v>
      </c>
      <c r="CR311" s="330">
        <v>45</v>
      </c>
      <c r="CS311" s="330">
        <v>46</v>
      </c>
      <c r="CT311" s="330">
        <v>29</v>
      </c>
      <c r="CU311" s="330">
        <v>28</v>
      </c>
      <c r="CV311" s="330">
        <v>13</v>
      </c>
      <c r="CW311" s="330">
        <v>12</v>
      </c>
      <c r="CX311" s="330">
        <v>3</v>
      </c>
      <c r="CY311" s="328">
        <v>240</v>
      </c>
      <c r="CZ311" s="322" t="s">
        <v>934</v>
      </c>
      <c r="DA311" s="323">
        <v>0</v>
      </c>
      <c r="DB311" s="323">
        <v>0</v>
      </c>
      <c r="DC311" s="323">
        <v>0</v>
      </c>
      <c r="DD311" s="323">
        <v>0</v>
      </c>
      <c r="DE311" s="323">
        <v>0</v>
      </c>
      <c r="DF311" s="323">
        <v>0</v>
      </c>
      <c r="DG311" s="323">
        <v>0</v>
      </c>
      <c r="DH311" s="323">
        <v>0</v>
      </c>
      <c r="DI311" s="323">
        <v>0</v>
      </c>
      <c r="DJ311" s="337">
        <v>393.4</v>
      </c>
      <c r="DK311" s="644">
        <v>30734.7</v>
      </c>
      <c r="DL311" s="614">
        <v>5691</v>
      </c>
      <c r="DM311" s="614">
        <v>5627</v>
      </c>
      <c r="DN311" s="614">
        <v>9428</v>
      </c>
      <c r="DO311" s="614">
        <v>5183</v>
      </c>
      <c r="DP311" s="614">
        <v>4459</v>
      </c>
      <c r="DQ311" s="614">
        <v>2749</v>
      </c>
      <c r="DR311" s="614">
        <v>1784</v>
      </c>
      <c r="DS311" s="615">
        <v>179</v>
      </c>
      <c r="DT311" s="607">
        <f t="shared" si="4"/>
        <v>35100</v>
      </c>
      <c r="DU311" s="342"/>
      <c r="EC311" s="646"/>
      <c r="EF311" s="126"/>
      <c r="EG311" s="124"/>
    </row>
    <row r="312" spans="1:137" ht="15">
      <c r="A312" s="22">
        <v>304</v>
      </c>
      <c r="B312" s="23" t="s">
        <v>751</v>
      </c>
      <c r="C312" s="24" t="s">
        <v>752</v>
      </c>
      <c r="D312" s="613"/>
      <c r="E312" s="626">
        <v>14760</v>
      </c>
      <c r="F312" s="626">
        <v>17689</v>
      </c>
      <c r="G312" s="626">
        <v>16226</v>
      </c>
      <c r="H312" s="626">
        <v>7262</v>
      </c>
      <c r="I312" s="626">
        <v>3684</v>
      </c>
      <c r="J312" s="626">
        <v>1411</v>
      </c>
      <c r="K312" s="626">
        <v>685</v>
      </c>
      <c r="L312" s="626">
        <v>41</v>
      </c>
      <c r="M312" s="627">
        <v>61758</v>
      </c>
      <c r="N312" s="322"/>
      <c r="O312" s="323">
        <v>846</v>
      </c>
      <c r="P312" s="323">
        <v>517</v>
      </c>
      <c r="Q312" s="323">
        <v>419</v>
      </c>
      <c r="R312" s="323">
        <v>168</v>
      </c>
      <c r="S312" s="323">
        <v>87</v>
      </c>
      <c r="T312" s="323">
        <v>30</v>
      </c>
      <c r="U312" s="323">
        <v>21</v>
      </c>
      <c r="V312" s="323">
        <v>1</v>
      </c>
      <c r="W312" s="323">
        <v>2089</v>
      </c>
      <c r="X312" s="329" t="s">
        <v>934</v>
      </c>
      <c r="Y312" s="330">
        <v>0</v>
      </c>
      <c r="Z312" s="330">
        <v>0</v>
      </c>
      <c r="AA312" s="330">
        <v>0</v>
      </c>
      <c r="AB312" s="330">
        <v>0</v>
      </c>
      <c r="AC312" s="330">
        <v>0</v>
      </c>
      <c r="AD312" s="330">
        <v>0</v>
      </c>
      <c r="AE312" s="330">
        <v>0</v>
      </c>
      <c r="AF312" s="330">
        <v>0</v>
      </c>
      <c r="AG312" s="328">
        <v>0</v>
      </c>
      <c r="AH312" s="329" t="s">
        <v>934</v>
      </c>
      <c r="AI312" s="184">
        <v>9</v>
      </c>
      <c r="AJ312" s="184">
        <v>57</v>
      </c>
      <c r="AK312" s="184">
        <v>71</v>
      </c>
      <c r="AL312" s="184">
        <v>73</v>
      </c>
      <c r="AM312" s="184">
        <v>43</v>
      </c>
      <c r="AN312" s="184">
        <v>24</v>
      </c>
      <c r="AO312" s="184">
        <v>37</v>
      </c>
      <c r="AP312" s="184">
        <v>14</v>
      </c>
      <c r="AQ312" s="336">
        <v>328</v>
      </c>
      <c r="AR312" s="323">
        <v>2</v>
      </c>
      <c r="AS312" s="323">
        <v>8354</v>
      </c>
      <c r="AT312" s="323">
        <v>6876</v>
      </c>
      <c r="AU312" s="323">
        <v>5251</v>
      </c>
      <c r="AV312" s="323">
        <v>1885</v>
      </c>
      <c r="AW312" s="323">
        <v>699</v>
      </c>
      <c r="AX312" s="323">
        <v>228</v>
      </c>
      <c r="AY312" s="323">
        <v>71</v>
      </c>
      <c r="AZ312" s="323">
        <v>3</v>
      </c>
      <c r="BA312" s="323">
        <v>23369</v>
      </c>
      <c r="BB312" s="331">
        <v>1</v>
      </c>
      <c r="BC312" s="330">
        <v>47</v>
      </c>
      <c r="BD312" s="330">
        <v>98</v>
      </c>
      <c r="BE312" s="330">
        <v>92</v>
      </c>
      <c r="BF312" s="330">
        <v>47</v>
      </c>
      <c r="BG312" s="330">
        <v>27</v>
      </c>
      <c r="BH312" s="330">
        <v>8</v>
      </c>
      <c r="BI312" s="330">
        <v>4</v>
      </c>
      <c r="BJ312" s="330">
        <v>0</v>
      </c>
      <c r="BK312" s="328">
        <v>324</v>
      </c>
      <c r="BL312" s="323">
        <v>0</v>
      </c>
      <c r="BM312" s="323">
        <v>23</v>
      </c>
      <c r="BN312" s="323">
        <v>9</v>
      </c>
      <c r="BO312" s="323">
        <v>13</v>
      </c>
      <c r="BP312" s="323">
        <v>9</v>
      </c>
      <c r="BQ312" s="323">
        <v>21</v>
      </c>
      <c r="BR312" s="323">
        <v>37</v>
      </c>
      <c r="BS312" s="323">
        <v>25</v>
      </c>
      <c r="BT312" s="323">
        <v>4</v>
      </c>
      <c r="BU312" s="323">
        <v>141</v>
      </c>
      <c r="BV312" s="329" t="s">
        <v>934</v>
      </c>
      <c r="BW312" s="330">
        <v>357</v>
      </c>
      <c r="BX312" s="330">
        <v>343</v>
      </c>
      <c r="BY312" s="330">
        <v>336</v>
      </c>
      <c r="BZ312" s="330">
        <v>142</v>
      </c>
      <c r="CA312" s="330">
        <v>103</v>
      </c>
      <c r="CB312" s="330">
        <v>51</v>
      </c>
      <c r="CC312" s="330">
        <v>26</v>
      </c>
      <c r="CD312" s="330">
        <v>2</v>
      </c>
      <c r="CE312" s="328">
        <v>1360</v>
      </c>
      <c r="CF312" s="322" t="s">
        <v>934</v>
      </c>
      <c r="CG312" s="323">
        <v>0</v>
      </c>
      <c r="CH312" s="323">
        <v>0</v>
      </c>
      <c r="CI312" s="323">
        <v>0</v>
      </c>
      <c r="CJ312" s="323">
        <v>0</v>
      </c>
      <c r="CK312" s="323">
        <v>0</v>
      </c>
      <c r="CL312" s="323">
        <v>0</v>
      </c>
      <c r="CM312" s="323">
        <v>0</v>
      </c>
      <c r="CN312" s="323">
        <v>0</v>
      </c>
      <c r="CO312" s="323">
        <v>0</v>
      </c>
      <c r="CP312" s="329" t="s">
        <v>934</v>
      </c>
      <c r="CQ312" s="330">
        <v>432</v>
      </c>
      <c r="CR312" s="330">
        <v>216</v>
      </c>
      <c r="CS312" s="330">
        <v>128</v>
      </c>
      <c r="CT312" s="330">
        <v>85</v>
      </c>
      <c r="CU312" s="330">
        <v>29</v>
      </c>
      <c r="CV312" s="330">
        <v>16</v>
      </c>
      <c r="CW312" s="330">
        <v>11</v>
      </c>
      <c r="CX312" s="330">
        <v>4</v>
      </c>
      <c r="CY312" s="328">
        <v>921</v>
      </c>
      <c r="CZ312" s="322" t="s">
        <v>934</v>
      </c>
      <c r="DA312" s="323">
        <v>0</v>
      </c>
      <c r="DB312" s="323">
        <v>0</v>
      </c>
      <c r="DC312" s="323">
        <v>0</v>
      </c>
      <c r="DD312" s="323">
        <v>0</v>
      </c>
      <c r="DE312" s="323">
        <v>0</v>
      </c>
      <c r="DF312" s="323">
        <v>0</v>
      </c>
      <c r="DG312" s="323">
        <v>0</v>
      </c>
      <c r="DH312" s="323">
        <v>0</v>
      </c>
      <c r="DI312" s="323">
        <v>0</v>
      </c>
      <c r="DJ312" s="337">
        <v>27</v>
      </c>
      <c r="DK312" s="644">
        <v>45882</v>
      </c>
      <c r="DL312" s="614">
        <v>15088</v>
      </c>
      <c r="DM312" s="614">
        <v>18020</v>
      </c>
      <c r="DN312" s="614">
        <v>16466</v>
      </c>
      <c r="DO312" s="614">
        <v>7338</v>
      </c>
      <c r="DP312" s="614">
        <v>3736</v>
      </c>
      <c r="DQ312" s="614">
        <v>1417</v>
      </c>
      <c r="DR312" s="614">
        <v>688</v>
      </c>
      <c r="DS312" s="615">
        <v>39</v>
      </c>
      <c r="DT312" s="607">
        <f t="shared" si="4"/>
        <v>62792</v>
      </c>
      <c r="DU312" s="342"/>
      <c r="EC312" s="646"/>
      <c r="EF312" s="123"/>
      <c r="EG312" s="124"/>
    </row>
    <row r="313" spans="1:137" ht="15">
      <c r="A313" s="22">
        <v>305</v>
      </c>
      <c r="B313" s="23" t="s">
        <v>753</v>
      </c>
      <c r="C313" s="24" t="s">
        <v>754</v>
      </c>
      <c r="D313" s="613"/>
      <c r="E313" s="629">
        <v>760</v>
      </c>
      <c r="F313" s="629">
        <v>1984</v>
      </c>
      <c r="G313" s="629">
        <v>6087</v>
      </c>
      <c r="H313" s="629">
        <v>9318</v>
      </c>
      <c r="I313" s="629">
        <v>6984</v>
      </c>
      <c r="J313" s="629">
        <v>3811</v>
      </c>
      <c r="K313" s="629">
        <v>4872</v>
      </c>
      <c r="L313" s="629">
        <v>1324</v>
      </c>
      <c r="M313" s="627">
        <v>35140</v>
      </c>
      <c r="N313" s="322"/>
      <c r="O313" s="323">
        <v>57</v>
      </c>
      <c r="P313" s="323">
        <v>86</v>
      </c>
      <c r="Q313" s="323">
        <v>171</v>
      </c>
      <c r="R313" s="323">
        <v>207</v>
      </c>
      <c r="S313" s="323">
        <v>101</v>
      </c>
      <c r="T313" s="323">
        <v>126</v>
      </c>
      <c r="U313" s="323">
        <v>142</v>
      </c>
      <c r="V313" s="323">
        <v>50</v>
      </c>
      <c r="W313" s="323">
        <v>940</v>
      </c>
      <c r="X313" s="329" t="s">
        <v>934</v>
      </c>
      <c r="Y313" s="330">
        <v>13</v>
      </c>
      <c r="Z313" s="330">
        <v>0</v>
      </c>
      <c r="AA313" s="330">
        <v>1</v>
      </c>
      <c r="AB313" s="330">
        <v>0</v>
      </c>
      <c r="AC313" s="330">
        <v>1</v>
      </c>
      <c r="AD313" s="330">
        <v>0</v>
      </c>
      <c r="AE313" s="330">
        <v>1</v>
      </c>
      <c r="AF313" s="330">
        <v>2</v>
      </c>
      <c r="AG313" s="328">
        <v>18</v>
      </c>
      <c r="AH313" s="329" t="s">
        <v>934</v>
      </c>
      <c r="AI313" s="184">
        <v>2</v>
      </c>
      <c r="AJ313" s="184">
        <v>2</v>
      </c>
      <c r="AK313" s="184">
        <v>14</v>
      </c>
      <c r="AL313" s="184">
        <v>31</v>
      </c>
      <c r="AM313" s="184">
        <v>33</v>
      </c>
      <c r="AN313" s="184">
        <v>20</v>
      </c>
      <c r="AO313" s="184">
        <v>27</v>
      </c>
      <c r="AP313" s="184">
        <v>19</v>
      </c>
      <c r="AQ313" s="336">
        <v>148</v>
      </c>
      <c r="AR313" s="323">
        <v>1</v>
      </c>
      <c r="AS313" s="323">
        <v>409</v>
      </c>
      <c r="AT313" s="323">
        <v>1408</v>
      </c>
      <c r="AU313" s="323">
        <v>2881</v>
      </c>
      <c r="AV313" s="323">
        <v>3138</v>
      </c>
      <c r="AW313" s="323">
        <v>1830</v>
      </c>
      <c r="AX313" s="323">
        <v>762</v>
      </c>
      <c r="AY313" s="323">
        <v>690</v>
      </c>
      <c r="AZ313" s="323">
        <v>103</v>
      </c>
      <c r="BA313" s="323">
        <v>11222</v>
      </c>
      <c r="BB313" s="331">
        <v>0</v>
      </c>
      <c r="BC313" s="330">
        <v>1</v>
      </c>
      <c r="BD313" s="330">
        <v>4</v>
      </c>
      <c r="BE313" s="330">
        <v>39</v>
      </c>
      <c r="BF313" s="330">
        <v>64</v>
      </c>
      <c r="BG313" s="330">
        <v>33</v>
      </c>
      <c r="BH313" s="330">
        <v>20</v>
      </c>
      <c r="BI313" s="330">
        <v>30</v>
      </c>
      <c r="BJ313" s="330">
        <v>2</v>
      </c>
      <c r="BK313" s="328">
        <v>193</v>
      </c>
      <c r="BL313" s="323">
        <v>0</v>
      </c>
      <c r="BM313" s="323">
        <v>5</v>
      </c>
      <c r="BN313" s="323">
        <v>0</v>
      </c>
      <c r="BO313" s="323">
        <v>3</v>
      </c>
      <c r="BP313" s="323">
        <v>2</v>
      </c>
      <c r="BQ313" s="323">
        <v>3</v>
      </c>
      <c r="BR313" s="323">
        <v>4</v>
      </c>
      <c r="BS313" s="323">
        <v>21</v>
      </c>
      <c r="BT313" s="323">
        <v>4</v>
      </c>
      <c r="BU313" s="323">
        <v>42</v>
      </c>
      <c r="BV313" s="329" t="s">
        <v>934</v>
      </c>
      <c r="BW313" s="330">
        <v>6</v>
      </c>
      <c r="BX313" s="330">
        <v>23</v>
      </c>
      <c r="BY313" s="330">
        <v>42</v>
      </c>
      <c r="BZ313" s="330">
        <v>36</v>
      </c>
      <c r="CA313" s="330">
        <v>39</v>
      </c>
      <c r="CB313" s="330">
        <v>8</v>
      </c>
      <c r="CC313" s="330">
        <v>18</v>
      </c>
      <c r="CD313" s="330">
        <v>7</v>
      </c>
      <c r="CE313" s="328">
        <v>179</v>
      </c>
      <c r="CF313" s="322" t="s">
        <v>934</v>
      </c>
      <c r="CG313" s="323">
        <v>0</v>
      </c>
      <c r="CH313" s="323">
        <v>0</v>
      </c>
      <c r="CI313" s="323">
        <v>0</v>
      </c>
      <c r="CJ313" s="323">
        <v>0</v>
      </c>
      <c r="CK313" s="323">
        <v>0</v>
      </c>
      <c r="CL313" s="323">
        <v>0</v>
      </c>
      <c r="CM313" s="323">
        <v>0</v>
      </c>
      <c r="CN313" s="323">
        <v>0</v>
      </c>
      <c r="CO313" s="323">
        <v>0</v>
      </c>
      <c r="CP313" s="329" t="s">
        <v>934</v>
      </c>
      <c r="CQ313" s="330">
        <v>15</v>
      </c>
      <c r="CR313" s="330">
        <v>35</v>
      </c>
      <c r="CS313" s="330">
        <v>44</v>
      </c>
      <c r="CT313" s="330">
        <v>50</v>
      </c>
      <c r="CU313" s="330">
        <v>35</v>
      </c>
      <c r="CV313" s="330">
        <v>17</v>
      </c>
      <c r="CW313" s="330">
        <v>31</v>
      </c>
      <c r="CX313" s="330">
        <v>22</v>
      </c>
      <c r="CY313" s="328">
        <v>249</v>
      </c>
      <c r="CZ313" s="322" t="s">
        <v>934</v>
      </c>
      <c r="DA313" s="323">
        <v>0</v>
      </c>
      <c r="DB313" s="323">
        <v>0</v>
      </c>
      <c r="DC313" s="323">
        <v>0</v>
      </c>
      <c r="DD313" s="323">
        <v>0</v>
      </c>
      <c r="DE313" s="323">
        <v>0</v>
      </c>
      <c r="DF313" s="323">
        <v>0</v>
      </c>
      <c r="DG313" s="323">
        <v>0</v>
      </c>
      <c r="DH313" s="323">
        <v>0</v>
      </c>
      <c r="DI313" s="323">
        <v>0</v>
      </c>
      <c r="DJ313" s="337">
        <v>182.1</v>
      </c>
      <c r="DK313" s="644">
        <v>37491.3</v>
      </c>
      <c r="DL313" s="616">
        <v>752</v>
      </c>
      <c r="DM313" s="616">
        <v>2012</v>
      </c>
      <c r="DN313" s="616">
        <v>6148</v>
      </c>
      <c r="DO313" s="616">
        <v>9469</v>
      </c>
      <c r="DP313" s="616">
        <v>7076</v>
      </c>
      <c r="DQ313" s="616">
        <v>3878</v>
      </c>
      <c r="DR313" s="616">
        <v>4872</v>
      </c>
      <c r="DS313" s="617">
        <v>1341</v>
      </c>
      <c r="DT313" s="607">
        <f t="shared" si="4"/>
        <v>35548</v>
      </c>
      <c r="DU313" s="342"/>
      <c r="EC313" s="646"/>
      <c r="EF313" s="125"/>
      <c r="EG313" s="124"/>
    </row>
    <row r="314" spans="1:137" ht="15">
      <c r="A314" s="22">
        <v>306</v>
      </c>
      <c r="B314" s="23" t="s">
        <v>755</v>
      </c>
      <c r="C314" s="24" t="s">
        <v>756</v>
      </c>
      <c r="D314" s="613"/>
      <c r="E314" s="628">
        <v>7279</v>
      </c>
      <c r="F314" s="628">
        <v>12470</v>
      </c>
      <c r="G314" s="628">
        <v>25382</v>
      </c>
      <c r="H314" s="628">
        <v>10797</v>
      </c>
      <c r="I314" s="628">
        <v>4176</v>
      </c>
      <c r="J314" s="628">
        <v>1992</v>
      </c>
      <c r="K314" s="628">
        <v>780</v>
      </c>
      <c r="L314" s="628">
        <v>38</v>
      </c>
      <c r="M314" s="627">
        <v>62914</v>
      </c>
      <c r="N314" s="322"/>
      <c r="O314" s="323">
        <v>283</v>
      </c>
      <c r="P314" s="323">
        <v>403</v>
      </c>
      <c r="Q314" s="323">
        <v>459</v>
      </c>
      <c r="R314" s="323">
        <v>246</v>
      </c>
      <c r="S314" s="323">
        <v>62</v>
      </c>
      <c r="T314" s="323">
        <v>22</v>
      </c>
      <c r="U314" s="323">
        <v>17</v>
      </c>
      <c r="V314" s="323">
        <v>0</v>
      </c>
      <c r="W314" s="323">
        <v>1492</v>
      </c>
      <c r="X314" s="329" t="s">
        <v>934</v>
      </c>
      <c r="Y314" s="330">
        <v>0</v>
      </c>
      <c r="Z314" s="330">
        <v>0</v>
      </c>
      <c r="AA314" s="330">
        <v>0</v>
      </c>
      <c r="AB314" s="330">
        <v>0</v>
      </c>
      <c r="AC314" s="330">
        <v>0</v>
      </c>
      <c r="AD314" s="330">
        <v>0</v>
      </c>
      <c r="AE314" s="330">
        <v>0</v>
      </c>
      <c r="AF314" s="330">
        <v>0</v>
      </c>
      <c r="AG314" s="328">
        <v>0</v>
      </c>
      <c r="AH314" s="329" t="s">
        <v>934</v>
      </c>
      <c r="AI314" s="184">
        <v>10</v>
      </c>
      <c r="AJ314" s="184">
        <v>28</v>
      </c>
      <c r="AK314" s="184">
        <v>100</v>
      </c>
      <c r="AL314" s="184">
        <v>55</v>
      </c>
      <c r="AM314" s="184">
        <v>25</v>
      </c>
      <c r="AN314" s="184">
        <v>16</v>
      </c>
      <c r="AO314" s="184">
        <v>7</v>
      </c>
      <c r="AP314" s="184">
        <v>10</v>
      </c>
      <c r="AQ314" s="336">
        <v>251</v>
      </c>
      <c r="AR314" s="323">
        <v>5</v>
      </c>
      <c r="AS314" s="323">
        <v>4331</v>
      </c>
      <c r="AT314" s="323">
        <v>5639</v>
      </c>
      <c r="AU314" s="323">
        <v>7789</v>
      </c>
      <c r="AV314" s="323">
        <v>2422</v>
      </c>
      <c r="AW314" s="323">
        <v>724</v>
      </c>
      <c r="AX314" s="323">
        <v>223</v>
      </c>
      <c r="AY314" s="323">
        <v>81</v>
      </c>
      <c r="AZ314" s="323">
        <v>3</v>
      </c>
      <c r="BA314" s="323">
        <v>21217</v>
      </c>
      <c r="BB314" s="331">
        <v>0</v>
      </c>
      <c r="BC314" s="330">
        <v>16</v>
      </c>
      <c r="BD314" s="330">
        <v>41</v>
      </c>
      <c r="BE314" s="330">
        <v>123</v>
      </c>
      <c r="BF314" s="330">
        <v>41</v>
      </c>
      <c r="BG314" s="330">
        <v>21</v>
      </c>
      <c r="BH314" s="330">
        <v>11</v>
      </c>
      <c r="BI314" s="330">
        <v>6</v>
      </c>
      <c r="BJ314" s="330">
        <v>0</v>
      </c>
      <c r="BK314" s="328">
        <v>259</v>
      </c>
      <c r="BL314" s="323">
        <v>0</v>
      </c>
      <c r="BM314" s="323">
        <v>1</v>
      </c>
      <c r="BN314" s="323">
        <v>2</v>
      </c>
      <c r="BO314" s="323">
        <v>9</v>
      </c>
      <c r="BP314" s="323">
        <v>6</v>
      </c>
      <c r="BQ314" s="323">
        <v>3</v>
      </c>
      <c r="BR314" s="323">
        <v>5</v>
      </c>
      <c r="BS314" s="323">
        <v>10</v>
      </c>
      <c r="BT314" s="323">
        <v>0</v>
      </c>
      <c r="BU314" s="323">
        <v>36</v>
      </c>
      <c r="BV314" s="329" t="s">
        <v>934</v>
      </c>
      <c r="BW314" s="330">
        <v>66</v>
      </c>
      <c r="BX314" s="330">
        <v>95</v>
      </c>
      <c r="BY314" s="330">
        <v>148</v>
      </c>
      <c r="BZ314" s="330">
        <v>96</v>
      </c>
      <c r="CA314" s="330">
        <v>20</v>
      </c>
      <c r="CB314" s="330">
        <v>18</v>
      </c>
      <c r="CC314" s="330">
        <v>2</v>
      </c>
      <c r="CD314" s="330">
        <v>1</v>
      </c>
      <c r="CE314" s="328">
        <v>446</v>
      </c>
      <c r="CF314" s="322" t="s">
        <v>934</v>
      </c>
      <c r="CG314" s="323">
        <v>0</v>
      </c>
      <c r="CH314" s="323">
        <v>0</v>
      </c>
      <c r="CI314" s="323">
        <v>0</v>
      </c>
      <c r="CJ314" s="323">
        <v>0</v>
      </c>
      <c r="CK314" s="323">
        <v>0</v>
      </c>
      <c r="CL314" s="323">
        <v>0</v>
      </c>
      <c r="CM314" s="323">
        <v>0</v>
      </c>
      <c r="CN314" s="323">
        <v>0</v>
      </c>
      <c r="CO314" s="323">
        <v>0</v>
      </c>
      <c r="CP314" s="329" t="s">
        <v>934</v>
      </c>
      <c r="CQ314" s="330">
        <v>142</v>
      </c>
      <c r="CR314" s="330">
        <v>227</v>
      </c>
      <c r="CS314" s="330">
        <v>217</v>
      </c>
      <c r="CT314" s="330">
        <v>101</v>
      </c>
      <c r="CU314" s="330">
        <v>33</v>
      </c>
      <c r="CV314" s="330">
        <v>17</v>
      </c>
      <c r="CW314" s="330">
        <v>10</v>
      </c>
      <c r="CX314" s="330">
        <v>0</v>
      </c>
      <c r="CY314" s="328">
        <v>747</v>
      </c>
      <c r="CZ314" s="322" t="s">
        <v>934</v>
      </c>
      <c r="DA314" s="323">
        <v>0</v>
      </c>
      <c r="DB314" s="323">
        <v>0</v>
      </c>
      <c r="DC314" s="323">
        <v>0</v>
      </c>
      <c r="DD314" s="323">
        <v>0</v>
      </c>
      <c r="DE314" s="323">
        <v>0</v>
      </c>
      <c r="DF314" s="323">
        <v>0</v>
      </c>
      <c r="DG314" s="323">
        <v>0</v>
      </c>
      <c r="DH314" s="323">
        <v>0</v>
      </c>
      <c r="DI314" s="323">
        <v>0</v>
      </c>
      <c r="DJ314" s="337">
        <v>0</v>
      </c>
      <c r="DK314" s="644">
        <v>51164.3</v>
      </c>
      <c r="DL314" s="614">
        <v>7299</v>
      </c>
      <c r="DM314" s="614">
        <v>12556</v>
      </c>
      <c r="DN314" s="614">
        <v>25639</v>
      </c>
      <c r="DO314" s="614">
        <v>10914</v>
      </c>
      <c r="DP314" s="614">
        <v>4264</v>
      </c>
      <c r="DQ314" s="614">
        <v>2004</v>
      </c>
      <c r="DR314" s="614">
        <v>793</v>
      </c>
      <c r="DS314" s="615">
        <v>39</v>
      </c>
      <c r="DT314" s="607">
        <f t="shared" si="4"/>
        <v>63508</v>
      </c>
      <c r="DU314" s="342"/>
      <c r="EC314" s="646"/>
      <c r="EF314" s="126"/>
      <c r="EG314" s="124"/>
    </row>
    <row r="315" spans="1:137" ht="15">
      <c r="A315" s="22">
        <v>307</v>
      </c>
      <c r="B315" s="23" t="s">
        <v>757</v>
      </c>
      <c r="C315" s="24" t="s">
        <v>758</v>
      </c>
      <c r="D315" s="613"/>
      <c r="E315" s="626">
        <v>1679</v>
      </c>
      <c r="F315" s="626">
        <v>3591</v>
      </c>
      <c r="G315" s="626">
        <v>13190</v>
      </c>
      <c r="H315" s="626">
        <v>11937</v>
      </c>
      <c r="I315" s="626">
        <v>7836</v>
      </c>
      <c r="J315" s="626">
        <v>4509</v>
      </c>
      <c r="K315" s="626">
        <v>3959</v>
      </c>
      <c r="L315" s="626">
        <v>312</v>
      </c>
      <c r="M315" s="627">
        <v>47013</v>
      </c>
      <c r="N315" s="322"/>
      <c r="O315" s="323">
        <v>118</v>
      </c>
      <c r="P315" s="323">
        <v>125</v>
      </c>
      <c r="Q315" s="323">
        <v>311</v>
      </c>
      <c r="R315" s="323">
        <v>211</v>
      </c>
      <c r="S315" s="323">
        <v>141</v>
      </c>
      <c r="T315" s="323">
        <v>77</v>
      </c>
      <c r="U315" s="323">
        <v>86</v>
      </c>
      <c r="V315" s="323">
        <v>16</v>
      </c>
      <c r="W315" s="323">
        <v>1085</v>
      </c>
      <c r="X315" s="329" t="s">
        <v>934</v>
      </c>
      <c r="Y315" s="330">
        <v>0</v>
      </c>
      <c r="Z315" s="330">
        <v>0</v>
      </c>
      <c r="AA315" s="330">
        <v>0</v>
      </c>
      <c r="AB315" s="330">
        <v>0</v>
      </c>
      <c r="AC315" s="330">
        <v>0</v>
      </c>
      <c r="AD315" s="330">
        <v>0</v>
      </c>
      <c r="AE315" s="330">
        <v>0</v>
      </c>
      <c r="AF315" s="330">
        <v>0</v>
      </c>
      <c r="AG315" s="328">
        <v>0</v>
      </c>
      <c r="AH315" s="329" t="s">
        <v>934</v>
      </c>
      <c r="AI315" s="184">
        <v>1</v>
      </c>
      <c r="AJ315" s="184">
        <v>12</v>
      </c>
      <c r="AK315" s="184">
        <v>50</v>
      </c>
      <c r="AL315" s="184">
        <v>52</v>
      </c>
      <c r="AM315" s="184">
        <v>37</v>
      </c>
      <c r="AN315" s="184">
        <v>18</v>
      </c>
      <c r="AO315" s="184">
        <v>21</v>
      </c>
      <c r="AP315" s="184">
        <v>11</v>
      </c>
      <c r="AQ315" s="336">
        <v>202</v>
      </c>
      <c r="AR315" s="323">
        <v>1</v>
      </c>
      <c r="AS315" s="323">
        <v>974</v>
      </c>
      <c r="AT315" s="323">
        <v>1866</v>
      </c>
      <c r="AU315" s="323">
        <v>4340</v>
      </c>
      <c r="AV315" s="323">
        <v>2873</v>
      </c>
      <c r="AW315" s="323">
        <v>1440</v>
      </c>
      <c r="AX315" s="323">
        <v>614</v>
      </c>
      <c r="AY315" s="323">
        <v>365</v>
      </c>
      <c r="AZ315" s="323">
        <v>17</v>
      </c>
      <c r="BA315" s="323">
        <v>12490</v>
      </c>
      <c r="BB315" s="331">
        <v>0</v>
      </c>
      <c r="BC315" s="330">
        <v>5</v>
      </c>
      <c r="BD315" s="330">
        <v>17</v>
      </c>
      <c r="BE315" s="330">
        <v>97</v>
      </c>
      <c r="BF315" s="330">
        <v>98</v>
      </c>
      <c r="BG315" s="330">
        <v>60</v>
      </c>
      <c r="BH315" s="330">
        <v>36</v>
      </c>
      <c r="BI315" s="330">
        <v>23</v>
      </c>
      <c r="BJ315" s="330">
        <v>1</v>
      </c>
      <c r="BK315" s="328">
        <v>337</v>
      </c>
      <c r="BL315" s="323">
        <v>0</v>
      </c>
      <c r="BM315" s="323">
        <v>0</v>
      </c>
      <c r="BN315" s="323">
        <v>2</v>
      </c>
      <c r="BO315" s="323">
        <v>2</v>
      </c>
      <c r="BP315" s="323">
        <v>1</v>
      </c>
      <c r="BQ315" s="323">
        <v>2</v>
      </c>
      <c r="BR315" s="323">
        <v>2</v>
      </c>
      <c r="BS315" s="323">
        <v>12</v>
      </c>
      <c r="BT315" s="323">
        <v>2</v>
      </c>
      <c r="BU315" s="323">
        <v>23</v>
      </c>
      <c r="BV315" s="329" t="s">
        <v>934</v>
      </c>
      <c r="BW315" s="330">
        <v>27</v>
      </c>
      <c r="BX315" s="330">
        <v>25</v>
      </c>
      <c r="BY315" s="330">
        <v>46</v>
      </c>
      <c r="BZ315" s="330">
        <v>35</v>
      </c>
      <c r="CA315" s="330">
        <v>35</v>
      </c>
      <c r="CB315" s="330">
        <v>12</v>
      </c>
      <c r="CC315" s="330">
        <v>27</v>
      </c>
      <c r="CD315" s="330">
        <v>4</v>
      </c>
      <c r="CE315" s="328">
        <v>211</v>
      </c>
      <c r="CF315" s="322" t="s">
        <v>934</v>
      </c>
      <c r="CG315" s="323">
        <v>12</v>
      </c>
      <c r="CH315" s="323">
        <v>0</v>
      </c>
      <c r="CI315" s="323">
        <v>0</v>
      </c>
      <c r="CJ315" s="323">
        <v>0</v>
      </c>
      <c r="CK315" s="323">
        <v>0</v>
      </c>
      <c r="CL315" s="323">
        <v>0</v>
      </c>
      <c r="CM315" s="323">
        <v>0</v>
      </c>
      <c r="CN315" s="323">
        <v>0</v>
      </c>
      <c r="CO315" s="323">
        <v>12</v>
      </c>
      <c r="CP315" s="329" t="s">
        <v>934</v>
      </c>
      <c r="CQ315" s="330">
        <v>0</v>
      </c>
      <c r="CR315" s="330">
        <v>0</v>
      </c>
      <c r="CS315" s="330">
        <v>0</v>
      </c>
      <c r="CT315" s="330">
        <v>0</v>
      </c>
      <c r="CU315" s="330">
        <v>0</v>
      </c>
      <c r="CV315" s="330">
        <v>0</v>
      </c>
      <c r="CW315" s="330">
        <v>0</v>
      </c>
      <c r="CX315" s="330">
        <v>0</v>
      </c>
      <c r="CY315" s="328">
        <v>0</v>
      </c>
      <c r="CZ315" s="322" t="s">
        <v>934</v>
      </c>
      <c r="DA315" s="323">
        <v>32</v>
      </c>
      <c r="DB315" s="323">
        <v>39</v>
      </c>
      <c r="DC315" s="323">
        <v>75</v>
      </c>
      <c r="DD315" s="323">
        <v>54</v>
      </c>
      <c r="DE315" s="323">
        <v>45</v>
      </c>
      <c r="DF315" s="323">
        <v>30</v>
      </c>
      <c r="DG315" s="323">
        <v>19</v>
      </c>
      <c r="DH315" s="323">
        <v>3</v>
      </c>
      <c r="DI315" s="323">
        <v>297</v>
      </c>
      <c r="DJ315" s="337">
        <v>9.8</v>
      </c>
      <c r="DK315" s="644">
        <v>46453.9</v>
      </c>
      <c r="DL315" s="614">
        <v>1684</v>
      </c>
      <c r="DM315" s="614">
        <v>3608</v>
      </c>
      <c r="DN315" s="614">
        <v>13284</v>
      </c>
      <c r="DO315" s="614">
        <v>11999</v>
      </c>
      <c r="DP315" s="614">
        <v>7929</v>
      </c>
      <c r="DQ315" s="614">
        <v>4588</v>
      </c>
      <c r="DR315" s="614">
        <v>4005</v>
      </c>
      <c r="DS315" s="615">
        <v>320</v>
      </c>
      <c r="DT315" s="607">
        <f t="shared" si="4"/>
        <v>47417</v>
      </c>
      <c r="DU315" s="342"/>
      <c r="EC315" s="646"/>
      <c r="EF315" s="123"/>
      <c r="EG315" s="124"/>
    </row>
    <row r="316" spans="1:137" ht="15">
      <c r="A316" s="22">
        <v>308</v>
      </c>
      <c r="B316" s="23" t="s">
        <v>759</v>
      </c>
      <c r="C316" s="24" t="s">
        <v>760</v>
      </c>
      <c r="D316" s="613"/>
      <c r="E316" s="628">
        <v>12288</v>
      </c>
      <c r="F316" s="628">
        <v>16396</v>
      </c>
      <c r="G316" s="628">
        <v>15719</v>
      </c>
      <c r="H316" s="628">
        <v>9451</v>
      </c>
      <c r="I316" s="628">
        <v>4928</v>
      </c>
      <c r="J316" s="628">
        <v>2269</v>
      </c>
      <c r="K316" s="628">
        <v>1198</v>
      </c>
      <c r="L316" s="628">
        <v>117</v>
      </c>
      <c r="M316" s="627">
        <v>62366</v>
      </c>
      <c r="N316" s="322"/>
      <c r="O316" s="323">
        <v>625</v>
      </c>
      <c r="P316" s="323">
        <v>440</v>
      </c>
      <c r="Q316" s="323">
        <v>298</v>
      </c>
      <c r="R316" s="323">
        <v>180</v>
      </c>
      <c r="S316" s="323">
        <v>83</v>
      </c>
      <c r="T316" s="323">
        <v>38</v>
      </c>
      <c r="U316" s="323">
        <v>20</v>
      </c>
      <c r="V316" s="323">
        <v>1</v>
      </c>
      <c r="W316" s="323">
        <v>1685</v>
      </c>
      <c r="X316" s="329" t="s">
        <v>934</v>
      </c>
      <c r="Y316" s="330">
        <v>0</v>
      </c>
      <c r="Z316" s="330">
        <v>0</v>
      </c>
      <c r="AA316" s="330">
        <v>0</v>
      </c>
      <c r="AB316" s="330">
        <v>0</v>
      </c>
      <c r="AC316" s="330">
        <v>0</v>
      </c>
      <c r="AD316" s="330">
        <v>0</v>
      </c>
      <c r="AE316" s="330">
        <v>0</v>
      </c>
      <c r="AF316" s="330">
        <v>0</v>
      </c>
      <c r="AG316" s="328">
        <v>0</v>
      </c>
      <c r="AH316" s="329" t="s">
        <v>934</v>
      </c>
      <c r="AI316" s="184">
        <v>12</v>
      </c>
      <c r="AJ316" s="184">
        <v>52</v>
      </c>
      <c r="AK316" s="184">
        <v>89</v>
      </c>
      <c r="AL316" s="184">
        <v>83</v>
      </c>
      <c r="AM316" s="184">
        <v>71</v>
      </c>
      <c r="AN316" s="184">
        <v>43</v>
      </c>
      <c r="AO316" s="184">
        <v>49</v>
      </c>
      <c r="AP316" s="184">
        <v>27</v>
      </c>
      <c r="AQ316" s="336">
        <v>426</v>
      </c>
      <c r="AR316" s="323">
        <v>5</v>
      </c>
      <c r="AS316" s="323">
        <v>7224</v>
      </c>
      <c r="AT316" s="323">
        <v>6724</v>
      </c>
      <c r="AU316" s="323">
        <v>5108</v>
      </c>
      <c r="AV316" s="323">
        <v>2533</v>
      </c>
      <c r="AW316" s="323">
        <v>1036</v>
      </c>
      <c r="AX316" s="323">
        <v>414</v>
      </c>
      <c r="AY316" s="323">
        <v>221</v>
      </c>
      <c r="AZ316" s="323">
        <v>14</v>
      </c>
      <c r="BA316" s="323">
        <v>23279</v>
      </c>
      <c r="BB316" s="331">
        <v>1</v>
      </c>
      <c r="BC316" s="330">
        <v>33</v>
      </c>
      <c r="BD316" s="330">
        <v>66</v>
      </c>
      <c r="BE316" s="330">
        <v>80</v>
      </c>
      <c r="BF316" s="330">
        <v>50</v>
      </c>
      <c r="BG316" s="330">
        <v>23</v>
      </c>
      <c r="BH316" s="330">
        <v>18</v>
      </c>
      <c r="BI316" s="330">
        <v>8</v>
      </c>
      <c r="BJ316" s="330">
        <v>1</v>
      </c>
      <c r="BK316" s="328">
        <v>280</v>
      </c>
      <c r="BL316" s="323">
        <v>0</v>
      </c>
      <c r="BM316" s="323">
        <v>50</v>
      </c>
      <c r="BN316" s="323">
        <v>6</v>
      </c>
      <c r="BO316" s="323">
        <v>13</v>
      </c>
      <c r="BP316" s="323">
        <v>11</v>
      </c>
      <c r="BQ316" s="323">
        <v>18</v>
      </c>
      <c r="BR316" s="323">
        <v>44</v>
      </c>
      <c r="BS316" s="323">
        <v>41</v>
      </c>
      <c r="BT316" s="323">
        <v>11</v>
      </c>
      <c r="BU316" s="323">
        <v>194</v>
      </c>
      <c r="BV316" s="329" t="s">
        <v>934</v>
      </c>
      <c r="BW316" s="330">
        <v>209</v>
      </c>
      <c r="BX316" s="330">
        <v>272</v>
      </c>
      <c r="BY316" s="330">
        <v>345</v>
      </c>
      <c r="BZ316" s="330">
        <v>294</v>
      </c>
      <c r="CA316" s="330">
        <v>227</v>
      </c>
      <c r="CB316" s="330">
        <v>96</v>
      </c>
      <c r="CC316" s="330">
        <v>70</v>
      </c>
      <c r="CD316" s="330">
        <v>10</v>
      </c>
      <c r="CE316" s="328">
        <v>1523</v>
      </c>
      <c r="CF316" s="322" t="s">
        <v>934</v>
      </c>
      <c r="CG316" s="323">
        <v>0</v>
      </c>
      <c r="CH316" s="323">
        <v>0</v>
      </c>
      <c r="CI316" s="323">
        <v>0</v>
      </c>
      <c r="CJ316" s="323">
        <v>0</v>
      </c>
      <c r="CK316" s="323">
        <v>0</v>
      </c>
      <c r="CL316" s="323">
        <v>0</v>
      </c>
      <c r="CM316" s="323">
        <v>0</v>
      </c>
      <c r="CN316" s="323">
        <v>0</v>
      </c>
      <c r="CO316" s="323">
        <v>0</v>
      </c>
      <c r="CP316" s="329" t="s">
        <v>934</v>
      </c>
      <c r="CQ316" s="330">
        <v>0</v>
      </c>
      <c r="CR316" s="330">
        <v>0</v>
      </c>
      <c r="CS316" s="330">
        <v>0</v>
      </c>
      <c r="CT316" s="330">
        <v>0</v>
      </c>
      <c r="CU316" s="330">
        <v>0</v>
      </c>
      <c r="CV316" s="330">
        <v>0</v>
      </c>
      <c r="CW316" s="330">
        <v>0</v>
      </c>
      <c r="CX316" s="330">
        <v>0</v>
      </c>
      <c r="CY316" s="328">
        <v>0</v>
      </c>
      <c r="CZ316" s="322" t="s">
        <v>934</v>
      </c>
      <c r="DA316" s="323">
        <v>645</v>
      </c>
      <c r="DB316" s="323">
        <v>317</v>
      </c>
      <c r="DC316" s="323">
        <v>205</v>
      </c>
      <c r="DD316" s="323">
        <v>121</v>
      </c>
      <c r="DE316" s="323">
        <v>50</v>
      </c>
      <c r="DF316" s="323">
        <v>23</v>
      </c>
      <c r="DG316" s="323">
        <v>23</v>
      </c>
      <c r="DH316" s="323">
        <v>5</v>
      </c>
      <c r="DI316" s="323">
        <v>1389</v>
      </c>
      <c r="DJ316" s="337">
        <v>0</v>
      </c>
      <c r="DK316" s="644">
        <v>48537.9</v>
      </c>
      <c r="DL316" s="614">
        <v>12550</v>
      </c>
      <c r="DM316" s="614">
        <v>16533</v>
      </c>
      <c r="DN316" s="614">
        <v>15782</v>
      </c>
      <c r="DO316" s="614">
        <v>9551</v>
      </c>
      <c r="DP316" s="614">
        <v>4930</v>
      </c>
      <c r="DQ316" s="614">
        <v>2268</v>
      </c>
      <c r="DR316" s="614">
        <v>1205</v>
      </c>
      <c r="DS316" s="615">
        <v>117</v>
      </c>
      <c r="DT316" s="607">
        <f t="shared" si="4"/>
        <v>62936</v>
      </c>
      <c r="DU316" s="342"/>
      <c r="EC316" s="646"/>
      <c r="EF316" s="126"/>
      <c r="EG316" s="124"/>
    </row>
    <row r="317" spans="1:137" ht="15">
      <c r="A317" s="22">
        <v>309</v>
      </c>
      <c r="B317" s="23" t="s">
        <v>761</v>
      </c>
      <c r="C317" s="24" t="s">
        <v>762</v>
      </c>
      <c r="D317" s="613"/>
      <c r="E317" s="628">
        <v>7426</v>
      </c>
      <c r="F317" s="628">
        <v>6210</v>
      </c>
      <c r="G317" s="628">
        <v>5674</v>
      </c>
      <c r="H317" s="628">
        <v>4877</v>
      </c>
      <c r="I317" s="628">
        <v>2950</v>
      </c>
      <c r="J317" s="628">
        <v>1025</v>
      </c>
      <c r="K317" s="628">
        <v>382</v>
      </c>
      <c r="L317" s="628">
        <v>30</v>
      </c>
      <c r="M317" s="627">
        <v>28574</v>
      </c>
      <c r="N317" s="322"/>
      <c r="O317" s="323">
        <v>324</v>
      </c>
      <c r="P317" s="323">
        <v>175</v>
      </c>
      <c r="Q317" s="323">
        <v>135</v>
      </c>
      <c r="R317" s="323">
        <v>65</v>
      </c>
      <c r="S317" s="323">
        <v>56</v>
      </c>
      <c r="T317" s="323">
        <v>16</v>
      </c>
      <c r="U317" s="323">
        <v>3</v>
      </c>
      <c r="V317" s="323">
        <v>1</v>
      </c>
      <c r="W317" s="323">
        <v>775</v>
      </c>
      <c r="X317" s="329" t="s">
        <v>934</v>
      </c>
      <c r="Y317" s="330">
        <v>5</v>
      </c>
      <c r="Z317" s="330">
        <v>1</v>
      </c>
      <c r="AA317" s="330">
        <v>0</v>
      </c>
      <c r="AB317" s="330">
        <v>0</v>
      </c>
      <c r="AC317" s="330">
        <v>0</v>
      </c>
      <c r="AD317" s="330">
        <v>1</v>
      </c>
      <c r="AE317" s="330">
        <v>0</v>
      </c>
      <c r="AF317" s="330">
        <v>0</v>
      </c>
      <c r="AG317" s="328">
        <v>7</v>
      </c>
      <c r="AH317" s="329" t="s">
        <v>934</v>
      </c>
      <c r="AI317" s="184">
        <v>12</v>
      </c>
      <c r="AJ317" s="184">
        <v>39</v>
      </c>
      <c r="AK317" s="184">
        <v>39</v>
      </c>
      <c r="AL317" s="184">
        <v>54</v>
      </c>
      <c r="AM317" s="184">
        <v>30</v>
      </c>
      <c r="AN317" s="184">
        <v>16</v>
      </c>
      <c r="AO317" s="184">
        <v>17</v>
      </c>
      <c r="AP317" s="184">
        <v>6</v>
      </c>
      <c r="AQ317" s="336">
        <v>213</v>
      </c>
      <c r="AR317" s="323">
        <v>4</v>
      </c>
      <c r="AS317" s="323">
        <v>3252</v>
      </c>
      <c r="AT317" s="323">
        <v>1949</v>
      </c>
      <c r="AU317" s="323">
        <v>1427</v>
      </c>
      <c r="AV317" s="323">
        <v>1005</v>
      </c>
      <c r="AW317" s="323">
        <v>424</v>
      </c>
      <c r="AX317" s="323">
        <v>122</v>
      </c>
      <c r="AY317" s="323">
        <v>38</v>
      </c>
      <c r="AZ317" s="323">
        <v>3</v>
      </c>
      <c r="BA317" s="323">
        <v>8224</v>
      </c>
      <c r="BB317" s="331">
        <v>1</v>
      </c>
      <c r="BC317" s="330">
        <v>48</v>
      </c>
      <c r="BD317" s="330">
        <v>38</v>
      </c>
      <c r="BE317" s="330">
        <v>43</v>
      </c>
      <c r="BF317" s="330">
        <v>27</v>
      </c>
      <c r="BG317" s="330">
        <v>11</v>
      </c>
      <c r="BH317" s="330">
        <v>5</v>
      </c>
      <c r="BI317" s="330">
        <v>5</v>
      </c>
      <c r="BJ317" s="330">
        <v>0</v>
      </c>
      <c r="BK317" s="328">
        <v>178</v>
      </c>
      <c r="BL317" s="323">
        <v>0</v>
      </c>
      <c r="BM317" s="323">
        <v>5</v>
      </c>
      <c r="BN317" s="323">
        <v>5</v>
      </c>
      <c r="BO317" s="323">
        <v>3</v>
      </c>
      <c r="BP317" s="323">
        <v>5</v>
      </c>
      <c r="BQ317" s="323">
        <v>8</v>
      </c>
      <c r="BR317" s="323">
        <v>16</v>
      </c>
      <c r="BS317" s="323">
        <v>11</v>
      </c>
      <c r="BT317" s="323">
        <v>3</v>
      </c>
      <c r="BU317" s="323">
        <v>56</v>
      </c>
      <c r="BV317" s="329" t="s">
        <v>934</v>
      </c>
      <c r="BW317" s="330">
        <v>373</v>
      </c>
      <c r="BX317" s="330">
        <v>213</v>
      </c>
      <c r="BY317" s="330">
        <v>211</v>
      </c>
      <c r="BZ317" s="330">
        <v>154</v>
      </c>
      <c r="CA317" s="330">
        <v>70</v>
      </c>
      <c r="CB317" s="330">
        <v>23</v>
      </c>
      <c r="CC317" s="330">
        <v>10</v>
      </c>
      <c r="CD317" s="330">
        <v>4</v>
      </c>
      <c r="CE317" s="328">
        <v>1058</v>
      </c>
      <c r="CF317" s="322" t="s">
        <v>934</v>
      </c>
      <c r="CG317" s="323">
        <v>0</v>
      </c>
      <c r="CH317" s="323">
        <v>0</v>
      </c>
      <c r="CI317" s="323">
        <v>0</v>
      </c>
      <c r="CJ317" s="323">
        <v>0</v>
      </c>
      <c r="CK317" s="323">
        <v>0</v>
      </c>
      <c r="CL317" s="323">
        <v>0</v>
      </c>
      <c r="CM317" s="323">
        <v>0</v>
      </c>
      <c r="CN317" s="323">
        <v>0</v>
      </c>
      <c r="CO317" s="323">
        <v>0</v>
      </c>
      <c r="CP317" s="329" t="s">
        <v>934</v>
      </c>
      <c r="CQ317" s="330">
        <v>0</v>
      </c>
      <c r="CR317" s="330">
        <v>0</v>
      </c>
      <c r="CS317" s="330">
        <v>0</v>
      </c>
      <c r="CT317" s="330">
        <v>0</v>
      </c>
      <c r="CU317" s="330">
        <v>0</v>
      </c>
      <c r="CV317" s="330">
        <v>0</v>
      </c>
      <c r="CW317" s="330">
        <v>0</v>
      </c>
      <c r="CX317" s="330">
        <v>0</v>
      </c>
      <c r="CY317" s="328">
        <v>0</v>
      </c>
      <c r="CZ317" s="322" t="s">
        <v>934</v>
      </c>
      <c r="DA317" s="323">
        <v>92</v>
      </c>
      <c r="DB317" s="323">
        <v>53</v>
      </c>
      <c r="DC317" s="323">
        <v>27</v>
      </c>
      <c r="DD317" s="323">
        <v>41</v>
      </c>
      <c r="DE317" s="323">
        <v>16</v>
      </c>
      <c r="DF317" s="323">
        <v>3</v>
      </c>
      <c r="DG317" s="323">
        <v>2</v>
      </c>
      <c r="DH317" s="323">
        <v>0</v>
      </c>
      <c r="DI317" s="323">
        <v>234</v>
      </c>
      <c r="DJ317" s="337">
        <v>0</v>
      </c>
      <c r="DK317" s="644">
        <v>22585.8</v>
      </c>
      <c r="DL317" s="614">
        <v>7501</v>
      </c>
      <c r="DM317" s="614">
        <v>6301</v>
      </c>
      <c r="DN317" s="614">
        <v>5807</v>
      </c>
      <c r="DO317" s="614">
        <v>4979</v>
      </c>
      <c r="DP317" s="614">
        <v>2974</v>
      </c>
      <c r="DQ317" s="614">
        <v>1015</v>
      </c>
      <c r="DR317" s="614">
        <v>383</v>
      </c>
      <c r="DS317" s="615">
        <v>29</v>
      </c>
      <c r="DT317" s="607">
        <f t="shared" si="4"/>
        <v>28989</v>
      </c>
      <c r="DU317" s="342"/>
      <c r="EC317" s="646"/>
      <c r="EF317" s="126"/>
      <c r="EG317" s="124"/>
    </row>
    <row r="318" spans="1:137" ht="15">
      <c r="A318" s="22">
        <v>310</v>
      </c>
      <c r="B318" s="23" t="s">
        <v>763</v>
      </c>
      <c r="C318" s="24" t="s">
        <v>764</v>
      </c>
      <c r="D318" s="613"/>
      <c r="E318" s="629">
        <v>1583</v>
      </c>
      <c r="F318" s="629">
        <v>25363</v>
      </c>
      <c r="G318" s="629">
        <v>31301</v>
      </c>
      <c r="H318" s="629">
        <v>15625</v>
      </c>
      <c r="I318" s="629">
        <v>12520</v>
      </c>
      <c r="J318" s="629">
        <v>5947</v>
      </c>
      <c r="K318" s="629">
        <v>2524</v>
      </c>
      <c r="L318" s="629">
        <v>411</v>
      </c>
      <c r="M318" s="637">
        <v>95274</v>
      </c>
      <c r="N318" s="322"/>
      <c r="O318" s="323">
        <v>190</v>
      </c>
      <c r="P318" s="323">
        <v>931</v>
      </c>
      <c r="Q318" s="323">
        <v>1111</v>
      </c>
      <c r="R318" s="323">
        <v>757</v>
      </c>
      <c r="S318" s="323">
        <v>585</v>
      </c>
      <c r="T318" s="323">
        <v>180</v>
      </c>
      <c r="U318" s="323">
        <v>85</v>
      </c>
      <c r="V318" s="323">
        <v>10</v>
      </c>
      <c r="W318" s="323">
        <v>3849</v>
      </c>
      <c r="X318" s="329" t="s">
        <v>934</v>
      </c>
      <c r="Y318" s="330">
        <v>0</v>
      </c>
      <c r="Z318" s="330">
        <v>0</v>
      </c>
      <c r="AA318" s="330">
        <v>0</v>
      </c>
      <c r="AB318" s="330">
        <v>0</v>
      </c>
      <c r="AC318" s="330">
        <v>0</v>
      </c>
      <c r="AD318" s="330">
        <v>0</v>
      </c>
      <c r="AE318" s="330">
        <v>0</v>
      </c>
      <c r="AF318" s="330">
        <v>0</v>
      </c>
      <c r="AG318" s="328">
        <v>0</v>
      </c>
      <c r="AH318" s="329" t="s">
        <v>934</v>
      </c>
      <c r="AI318" s="184">
        <v>2</v>
      </c>
      <c r="AJ318" s="184">
        <v>38</v>
      </c>
      <c r="AK318" s="184">
        <v>63</v>
      </c>
      <c r="AL318" s="184">
        <v>39</v>
      </c>
      <c r="AM318" s="184">
        <v>26</v>
      </c>
      <c r="AN318" s="184">
        <v>19</v>
      </c>
      <c r="AO318" s="184">
        <v>5</v>
      </c>
      <c r="AP318" s="184">
        <v>2</v>
      </c>
      <c r="AQ318" s="336">
        <v>194</v>
      </c>
      <c r="AR318" s="323">
        <v>0</v>
      </c>
      <c r="AS318" s="323">
        <v>833</v>
      </c>
      <c r="AT318" s="323">
        <v>14443</v>
      </c>
      <c r="AU318" s="323">
        <v>11808</v>
      </c>
      <c r="AV318" s="323">
        <v>5149</v>
      </c>
      <c r="AW318" s="323">
        <v>3214</v>
      </c>
      <c r="AX318" s="323">
        <v>1425</v>
      </c>
      <c r="AY318" s="323">
        <v>547</v>
      </c>
      <c r="AZ318" s="323">
        <v>74</v>
      </c>
      <c r="BA318" s="323">
        <v>37493</v>
      </c>
      <c r="BB318" s="331">
        <v>0</v>
      </c>
      <c r="BC318" s="330">
        <v>10</v>
      </c>
      <c r="BD318" s="330">
        <v>210</v>
      </c>
      <c r="BE318" s="330">
        <v>436</v>
      </c>
      <c r="BF318" s="330">
        <v>223</v>
      </c>
      <c r="BG318" s="330">
        <v>141</v>
      </c>
      <c r="BH318" s="330">
        <v>67</v>
      </c>
      <c r="BI318" s="330">
        <v>15</v>
      </c>
      <c r="BJ318" s="330">
        <v>2</v>
      </c>
      <c r="BK318" s="328">
        <v>1104</v>
      </c>
      <c r="BL318" s="323">
        <v>0</v>
      </c>
      <c r="BM318" s="323">
        <v>25</v>
      </c>
      <c r="BN318" s="323">
        <v>13</v>
      </c>
      <c r="BO318" s="323">
        <v>19</v>
      </c>
      <c r="BP318" s="323">
        <v>8</v>
      </c>
      <c r="BQ318" s="323">
        <v>15</v>
      </c>
      <c r="BR318" s="323">
        <v>5</v>
      </c>
      <c r="BS318" s="323">
        <v>7</v>
      </c>
      <c r="BT318" s="323">
        <v>18</v>
      </c>
      <c r="BU318" s="323">
        <v>110</v>
      </c>
      <c r="BV318" s="329" t="s">
        <v>934</v>
      </c>
      <c r="BW318" s="330">
        <v>73</v>
      </c>
      <c r="BX318" s="330">
        <v>486</v>
      </c>
      <c r="BY318" s="330">
        <v>916</v>
      </c>
      <c r="BZ318" s="330">
        <v>738</v>
      </c>
      <c r="CA318" s="330">
        <v>770</v>
      </c>
      <c r="CB318" s="330">
        <v>604</v>
      </c>
      <c r="CC318" s="330">
        <v>356</v>
      </c>
      <c r="CD318" s="330">
        <v>73</v>
      </c>
      <c r="CE318" s="328">
        <v>4016</v>
      </c>
      <c r="CF318" s="322" t="s">
        <v>934</v>
      </c>
      <c r="CG318" s="323">
        <v>86</v>
      </c>
      <c r="CH318" s="323">
        <v>277</v>
      </c>
      <c r="CI318" s="323">
        <v>221</v>
      </c>
      <c r="CJ318" s="323">
        <v>121</v>
      </c>
      <c r="CK318" s="323">
        <v>149</v>
      </c>
      <c r="CL318" s="323">
        <v>44</v>
      </c>
      <c r="CM318" s="323">
        <v>26</v>
      </c>
      <c r="CN318" s="323">
        <v>16</v>
      </c>
      <c r="CO318" s="323">
        <v>940</v>
      </c>
      <c r="CP318" s="329" t="s">
        <v>934</v>
      </c>
      <c r="CQ318" s="330">
        <v>0</v>
      </c>
      <c r="CR318" s="330">
        <v>0</v>
      </c>
      <c r="CS318" s="330">
        <v>0</v>
      </c>
      <c r="CT318" s="330">
        <v>0</v>
      </c>
      <c r="CU318" s="330">
        <v>0</v>
      </c>
      <c r="CV318" s="330">
        <v>0</v>
      </c>
      <c r="CW318" s="330">
        <v>0</v>
      </c>
      <c r="CX318" s="330">
        <v>0</v>
      </c>
      <c r="CY318" s="328">
        <v>0</v>
      </c>
      <c r="CZ318" s="322" t="s">
        <v>934</v>
      </c>
      <c r="DA318" s="323">
        <v>0</v>
      </c>
      <c r="DB318" s="323">
        <v>0</v>
      </c>
      <c r="DC318" s="323">
        <v>0</v>
      </c>
      <c r="DD318" s="323">
        <v>0</v>
      </c>
      <c r="DE318" s="323">
        <v>0</v>
      </c>
      <c r="DF318" s="323">
        <v>0</v>
      </c>
      <c r="DG318" s="323">
        <v>0</v>
      </c>
      <c r="DH318" s="323">
        <v>0</v>
      </c>
      <c r="DI318" s="323">
        <v>0</v>
      </c>
      <c r="DJ318" s="337">
        <v>0</v>
      </c>
      <c r="DK318" s="644">
        <v>77718.1</v>
      </c>
      <c r="DL318" s="616">
        <v>1536</v>
      </c>
      <c r="DM318" s="616">
        <v>25445</v>
      </c>
      <c r="DN318" s="616">
        <v>31890</v>
      </c>
      <c r="DO318" s="616">
        <v>16453</v>
      </c>
      <c r="DP318" s="616">
        <v>12929</v>
      </c>
      <c r="DQ318" s="616">
        <v>6162</v>
      </c>
      <c r="DR318" s="616">
        <v>2532</v>
      </c>
      <c r="DS318" s="617">
        <v>408</v>
      </c>
      <c r="DT318" s="608">
        <f t="shared" si="4"/>
        <v>97355</v>
      </c>
      <c r="DU318" s="342"/>
      <c r="EC318" s="646"/>
      <c r="EF318" s="125"/>
      <c r="EG318" s="128"/>
    </row>
    <row r="319" spans="1:137" ht="15">
      <c r="A319" s="22">
        <v>311</v>
      </c>
      <c r="B319" s="23" t="s">
        <v>765</v>
      </c>
      <c r="C319" s="24" t="s">
        <v>766</v>
      </c>
      <c r="D319" s="613"/>
      <c r="E319" s="626">
        <v>18634</v>
      </c>
      <c r="F319" s="626">
        <v>20073</v>
      </c>
      <c r="G319" s="626">
        <v>25350</v>
      </c>
      <c r="H319" s="626">
        <v>14257</v>
      </c>
      <c r="I319" s="626">
        <v>7363</v>
      </c>
      <c r="J319" s="626">
        <v>4271</v>
      </c>
      <c r="K319" s="626">
        <v>4089</v>
      </c>
      <c r="L319" s="626">
        <v>827</v>
      </c>
      <c r="M319" s="627">
        <v>94864</v>
      </c>
      <c r="N319" s="322"/>
      <c r="O319" s="323">
        <v>697</v>
      </c>
      <c r="P319" s="323">
        <v>483</v>
      </c>
      <c r="Q319" s="323">
        <v>496</v>
      </c>
      <c r="R319" s="323">
        <v>269</v>
      </c>
      <c r="S319" s="323">
        <v>112</v>
      </c>
      <c r="T319" s="323">
        <v>66</v>
      </c>
      <c r="U319" s="323">
        <v>56</v>
      </c>
      <c r="V319" s="323">
        <v>21</v>
      </c>
      <c r="W319" s="323">
        <v>2200</v>
      </c>
      <c r="X319" s="329" t="s">
        <v>934</v>
      </c>
      <c r="Y319" s="330">
        <v>2</v>
      </c>
      <c r="Z319" s="330">
        <v>6</v>
      </c>
      <c r="AA319" s="330">
        <v>0</v>
      </c>
      <c r="AB319" s="330">
        <v>0</v>
      </c>
      <c r="AC319" s="330">
        <v>0</v>
      </c>
      <c r="AD319" s="330">
        <v>0</v>
      </c>
      <c r="AE319" s="330">
        <v>2</v>
      </c>
      <c r="AF319" s="330">
        <v>0</v>
      </c>
      <c r="AG319" s="328">
        <v>10</v>
      </c>
      <c r="AH319" s="329" t="s">
        <v>934</v>
      </c>
      <c r="AI319" s="184">
        <v>15</v>
      </c>
      <c r="AJ319" s="184">
        <v>102</v>
      </c>
      <c r="AK319" s="184">
        <v>118</v>
      </c>
      <c r="AL319" s="184">
        <v>80</v>
      </c>
      <c r="AM319" s="184">
        <v>66</v>
      </c>
      <c r="AN319" s="184">
        <v>44</v>
      </c>
      <c r="AO319" s="184">
        <v>51</v>
      </c>
      <c r="AP319" s="184">
        <v>20</v>
      </c>
      <c r="AQ319" s="336">
        <v>496</v>
      </c>
      <c r="AR319" s="323">
        <v>6</v>
      </c>
      <c r="AS319" s="323">
        <v>10840</v>
      </c>
      <c r="AT319" s="323">
        <v>8189</v>
      </c>
      <c r="AU319" s="323">
        <v>7660</v>
      </c>
      <c r="AV319" s="323">
        <v>3661</v>
      </c>
      <c r="AW319" s="323">
        <v>1526</v>
      </c>
      <c r="AX319" s="323">
        <v>811</v>
      </c>
      <c r="AY319" s="323">
        <v>582</v>
      </c>
      <c r="AZ319" s="323">
        <v>78</v>
      </c>
      <c r="BA319" s="323">
        <v>33353</v>
      </c>
      <c r="BB319" s="331">
        <v>0</v>
      </c>
      <c r="BC319" s="330">
        <v>92</v>
      </c>
      <c r="BD319" s="330">
        <v>142</v>
      </c>
      <c r="BE319" s="330">
        <v>186</v>
      </c>
      <c r="BF319" s="330">
        <v>106</v>
      </c>
      <c r="BG319" s="330">
        <v>34</v>
      </c>
      <c r="BH319" s="330">
        <v>16</v>
      </c>
      <c r="BI319" s="330">
        <v>9</v>
      </c>
      <c r="BJ319" s="330">
        <v>1</v>
      </c>
      <c r="BK319" s="328">
        <v>586</v>
      </c>
      <c r="BL319" s="323">
        <v>0</v>
      </c>
      <c r="BM319" s="323">
        <v>19</v>
      </c>
      <c r="BN319" s="323">
        <v>13</v>
      </c>
      <c r="BO319" s="323">
        <v>6</v>
      </c>
      <c r="BP319" s="323">
        <v>19</v>
      </c>
      <c r="BQ319" s="323">
        <v>14</v>
      </c>
      <c r="BR319" s="323">
        <v>26</v>
      </c>
      <c r="BS319" s="323">
        <v>19</v>
      </c>
      <c r="BT319" s="323">
        <v>6</v>
      </c>
      <c r="BU319" s="323">
        <v>122</v>
      </c>
      <c r="BV319" s="329" t="s">
        <v>934</v>
      </c>
      <c r="BW319" s="330">
        <v>170</v>
      </c>
      <c r="BX319" s="330">
        <v>126</v>
      </c>
      <c r="BY319" s="330">
        <v>135</v>
      </c>
      <c r="BZ319" s="330">
        <v>89</v>
      </c>
      <c r="CA319" s="330">
        <v>33</v>
      </c>
      <c r="CB319" s="330">
        <v>22</v>
      </c>
      <c r="CC319" s="330">
        <v>17</v>
      </c>
      <c r="CD319" s="330">
        <v>3</v>
      </c>
      <c r="CE319" s="328">
        <v>595</v>
      </c>
      <c r="CF319" s="322" t="s">
        <v>934</v>
      </c>
      <c r="CG319" s="323">
        <v>0</v>
      </c>
      <c r="CH319" s="323">
        <v>0</v>
      </c>
      <c r="CI319" s="323">
        <v>0</v>
      </c>
      <c r="CJ319" s="323">
        <v>0</v>
      </c>
      <c r="CK319" s="323">
        <v>0</v>
      </c>
      <c r="CL319" s="323">
        <v>0</v>
      </c>
      <c r="CM319" s="323">
        <v>0</v>
      </c>
      <c r="CN319" s="323">
        <v>0</v>
      </c>
      <c r="CO319" s="323">
        <v>0</v>
      </c>
      <c r="CP319" s="329" t="s">
        <v>934</v>
      </c>
      <c r="CQ319" s="330">
        <v>472</v>
      </c>
      <c r="CR319" s="330">
        <v>191</v>
      </c>
      <c r="CS319" s="330">
        <v>198</v>
      </c>
      <c r="CT319" s="330">
        <v>124</v>
      </c>
      <c r="CU319" s="330">
        <v>62</v>
      </c>
      <c r="CV319" s="330">
        <v>33</v>
      </c>
      <c r="CW319" s="330">
        <v>41</v>
      </c>
      <c r="CX319" s="330">
        <v>16</v>
      </c>
      <c r="CY319" s="328">
        <v>1137</v>
      </c>
      <c r="CZ319" s="322" t="s">
        <v>934</v>
      </c>
      <c r="DA319" s="323">
        <v>0</v>
      </c>
      <c r="DB319" s="323">
        <v>0</v>
      </c>
      <c r="DC319" s="323">
        <v>0</v>
      </c>
      <c r="DD319" s="323">
        <v>0</v>
      </c>
      <c r="DE319" s="323">
        <v>0</v>
      </c>
      <c r="DF319" s="323">
        <v>0</v>
      </c>
      <c r="DG319" s="323">
        <v>0</v>
      </c>
      <c r="DH319" s="323">
        <v>0</v>
      </c>
      <c r="DI319" s="323">
        <v>0</v>
      </c>
      <c r="DJ319" s="337">
        <v>0</v>
      </c>
      <c r="DK319" s="644">
        <v>78933.1</v>
      </c>
      <c r="DL319" s="614">
        <v>18612</v>
      </c>
      <c r="DM319" s="614">
        <v>20146</v>
      </c>
      <c r="DN319" s="614">
        <v>25498</v>
      </c>
      <c r="DO319" s="614">
        <v>14468</v>
      </c>
      <c r="DP319" s="614">
        <v>7420</v>
      </c>
      <c r="DQ319" s="614">
        <v>4308</v>
      </c>
      <c r="DR319" s="614">
        <v>4109</v>
      </c>
      <c r="DS319" s="615">
        <v>850</v>
      </c>
      <c r="DT319" s="607">
        <f t="shared" si="4"/>
        <v>95411</v>
      </c>
      <c r="DU319" s="342"/>
      <c r="EC319" s="646"/>
      <c r="EF319" s="126"/>
      <c r="EG319" s="124"/>
    </row>
    <row r="320" spans="1:137" ht="15">
      <c r="A320" s="22">
        <v>312</v>
      </c>
      <c r="B320" s="23" t="s">
        <v>767</v>
      </c>
      <c r="C320" s="24" t="s">
        <v>768</v>
      </c>
      <c r="D320" s="613"/>
      <c r="E320" s="626">
        <v>3425</v>
      </c>
      <c r="F320" s="626">
        <v>4978</v>
      </c>
      <c r="G320" s="626">
        <v>12900</v>
      </c>
      <c r="H320" s="626">
        <v>9099</v>
      </c>
      <c r="I320" s="626">
        <v>6153</v>
      </c>
      <c r="J320" s="626">
        <v>4333</v>
      </c>
      <c r="K320" s="626">
        <v>4646</v>
      </c>
      <c r="L320" s="626">
        <v>412</v>
      </c>
      <c r="M320" s="627">
        <v>45946</v>
      </c>
      <c r="N320" s="322"/>
      <c r="O320" s="323">
        <v>250</v>
      </c>
      <c r="P320" s="323">
        <v>199</v>
      </c>
      <c r="Q320" s="323">
        <v>338</v>
      </c>
      <c r="R320" s="323">
        <v>179</v>
      </c>
      <c r="S320" s="323">
        <v>105</v>
      </c>
      <c r="T320" s="323">
        <v>46</v>
      </c>
      <c r="U320" s="323">
        <v>47</v>
      </c>
      <c r="V320" s="323">
        <v>15</v>
      </c>
      <c r="W320" s="323">
        <v>1179</v>
      </c>
      <c r="X320" s="329" t="s">
        <v>934</v>
      </c>
      <c r="Y320" s="330">
        <v>0</v>
      </c>
      <c r="Z320" s="330">
        <v>4</v>
      </c>
      <c r="AA320" s="330">
        <v>1</v>
      </c>
      <c r="AB320" s="330">
        <v>2</v>
      </c>
      <c r="AC320" s="330">
        <v>1</v>
      </c>
      <c r="AD320" s="330">
        <v>0</v>
      </c>
      <c r="AE320" s="330">
        <v>2</v>
      </c>
      <c r="AF320" s="330">
        <v>0</v>
      </c>
      <c r="AG320" s="328">
        <v>10</v>
      </c>
      <c r="AH320" s="329" t="s">
        <v>934</v>
      </c>
      <c r="AI320" s="184">
        <v>4</v>
      </c>
      <c r="AJ320" s="184">
        <v>11</v>
      </c>
      <c r="AK320" s="184">
        <v>37</v>
      </c>
      <c r="AL320" s="184">
        <v>42</v>
      </c>
      <c r="AM320" s="184">
        <v>36</v>
      </c>
      <c r="AN320" s="184">
        <v>28</v>
      </c>
      <c r="AO320" s="184">
        <v>35</v>
      </c>
      <c r="AP320" s="184">
        <v>21</v>
      </c>
      <c r="AQ320" s="336">
        <v>214</v>
      </c>
      <c r="AR320" s="323">
        <v>2</v>
      </c>
      <c r="AS320" s="323">
        <v>2236</v>
      </c>
      <c r="AT320" s="323">
        <v>2770</v>
      </c>
      <c r="AU320" s="323">
        <v>4804</v>
      </c>
      <c r="AV320" s="323">
        <v>2662</v>
      </c>
      <c r="AW320" s="323">
        <v>1388</v>
      </c>
      <c r="AX320" s="323">
        <v>770</v>
      </c>
      <c r="AY320" s="323">
        <v>567</v>
      </c>
      <c r="AZ320" s="323">
        <v>24</v>
      </c>
      <c r="BA320" s="323">
        <v>15223</v>
      </c>
      <c r="BB320" s="331">
        <v>0</v>
      </c>
      <c r="BC320" s="330">
        <v>10</v>
      </c>
      <c r="BD320" s="330">
        <v>23</v>
      </c>
      <c r="BE320" s="330">
        <v>69</v>
      </c>
      <c r="BF320" s="330">
        <v>45</v>
      </c>
      <c r="BG320" s="330">
        <v>34</v>
      </c>
      <c r="BH320" s="330">
        <v>26</v>
      </c>
      <c r="BI320" s="330">
        <v>19</v>
      </c>
      <c r="BJ320" s="330">
        <v>0</v>
      </c>
      <c r="BK320" s="328">
        <v>226</v>
      </c>
      <c r="BL320" s="323">
        <v>0</v>
      </c>
      <c r="BM320" s="323">
        <v>0</v>
      </c>
      <c r="BN320" s="323">
        <v>0</v>
      </c>
      <c r="BO320" s="323">
        <v>2</v>
      </c>
      <c r="BP320" s="323">
        <v>1</v>
      </c>
      <c r="BQ320" s="323">
        <v>3</v>
      </c>
      <c r="BR320" s="323">
        <v>7</v>
      </c>
      <c r="BS320" s="323">
        <v>21</v>
      </c>
      <c r="BT320" s="323">
        <v>8</v>
      </c>
      <c r="BU320" s="323">
        <v>42</v>
      </c>
      <c r="BV320" s="329" t="s">
        <v>934</v>
      </c>
      <c r="BW320" s="330">
        <v>58</v>
      </c>
      <c r="BX320" s="330">
        <v>76</v>
      </c>
      <c r="BY320" s="330">
        <v>111</v>
      </c>
      <c r="BZ320" s="330">
        <v>89</v>
      </c>
      <c r="CA320" s="330">
        <v>67</v>
      </c>
      <c r="CB320" s="330">
        <v>42</v>
      </c>
      <c r="CC320" s="330">
        <v>42</v>
      </c>
      <c r="CD320" s="330">
        <v>13</v>
      </c>
      <c r="CE320" s="328">
        <v>498</v>
      </c>
      <c r="CF320" s="322" t="s">
        <v>934</v>
      </c>
      <c r="CG320" s="323">
        <v>0</v>
      </c>
      <c r="CH320" s="323">
        <v>0</v>
      </c>
      <c r="CI320" s="323">
        <v>0</v>
      </c>
      <c r="CJ320" s="323">
        <v>0</v>
      </c>
      <c r="CK320" s="323">
        <v>0</v>
      </c>
      <c r="CL320" s="323">
        <v>0</v>
      </c>
      <c r="CM320" s="323">
        <v>0</v>
      </c>
      <c r="CN320" s="323">
        <v>0</v>
      </c>
      <c r="CO320" s="323">
        <v>0</v>
      </c>
      <c r="CP320" s="329" t="s">
        <v>934</v>
      </c>
      <c r="CQ320" s="330">
        <v>60</v>
      </c>
      <c r="CR320" s="330">
        <v>77</v>
      </c>
      <c r="CS320" s="330">
        <v>129</v>
      </c>
      <c r="CT320" s="330">
        <v>80</v>
      </c>
      <c r="CU320" s="330">
        <v>63</v>
      </c>
      <c r="CV320" s="330">
        <v>39</v>
      </c>
      <c r="CW320" s="330">
        <v>33</v>
      </c>
      <c r="CX320" s="330">
        <v>7</v>
      </c>
      <c r="CY320" s="328">
        <v>488</v>
      </c>
      <c r="CZ320" s="322" t="s">
        <v>934</v>
      </c>
      <c r="DA320" s="323">
        <v>0</v>
      </c>
      <c r="DB320" s="323">
        <v>0</v>
      </c>
      <c r="DC320" s="323">
        <v>0</v>
      </c>
      <c r="DD320" s="323">
        <v>0</v>
      </c>
      <c r="DE320" s="323">
        <v>0</v>
      </c>
      <c r="DF320" s="323">
        <v>0</v>
      </c>
      <c r="DG320" s="323">
        <v>0</v>
      </c>
      <c r="DH320" s="323">
        <v>0</v>
      </c>
      <c r="DI320" s="323">
        <v>0</v>
      </c>
      <c r="DJ320" s="337">
        <v>0</v>
      </c>
      <c r="DK320" s="644">
        <v>43962.1</v>
      </c>
      <c r="DL320" s="614">
        <v>3437</v>
      </c>
      <c r="DM320" s="614">
        <v>5024</v>
      </c>
      <c r="DN320" s="614">
        <v>12967</v>
      </c>
      <c r="DO320" s="614">
        <v>9242</v>
      </c>
      <c r="DP320" s="614">
        <v>6242</v>
      </c>
      <c r="DQ320" s="614">
        <v>4393</v>
      </c>
      <c r="DR320" s="614">
        <v>4716</v>
      </c>
      <c r="DS320" s="615">
        <v>418</v>
      </c>
      <c r="DT320" s="607">
        <f t="shared" si="4"/>
        <v>46439</v>
      </c>
      <c r="DU320" s="342"/>
      <c r="EC320" s="646"/>
      <c r="EF320" s="123"/>
      <c r="EG320" s="124"/>
    </row>
    <row r="321" spans="1:137" ht="15">
      <c r="A321" s="22">
        <v>313</v>
      </c>
      <c r="B321" s="23" t="s">
        <v>769</v>
      </c>
      <c r="C321" s="24" t="s">
        <v>770</v>
      </c>
      <c r="D321" s="613"/>
      <c r="E321" s="629">
        <v>8133</v>
      </c>
      <c r="F321" s="629">
        <v>4381</v>
      </c>
      <c r="G321" s="629">
        <v>4336</v>
      </c>
      <c r="H321" s="629">
        <v>3582</v>
      </c>
      <c r="I321" s="629">
        <v>2828</v>
      </c>
      <c r="J321" s="629">
        <v>1902</v>
      </c>
      <c r="K321" s="629">
        <v>1416</v>
      </c>
      <c r="L321" s="629">
        <v>143</v>
      </c>
      <c r="M321" s="627">
        <v>26721</v>
      </c>
      <c r="N321" s="322"/>
      <c r="O321" s="323">
        <v>239</v>
      </c>
      <c r="P321" s="323">
        <v>118</v>
      </c>
      <c r="Q321" s="323">
        <v>84</v>
      </c>
      <c r="R321" s="323">
        <v>62</v>
      </c>
      <c r="S321" s="323">
        <v>45</v>
      </c>
      <c r="T321" s="323">
        <v>23</v>
      </c>
      <c r="U321" s="323">
        <v>17</v>
      </c>
      <c r="V321" s="323">
        <v>3</v>
      </c>
      <c r="W321" s="323">
        <v>591</v>
      </c>
      <c r="X321" s="329" t="s">
        <v>934</v>
      </c>
      <c r="Y321" s="330">
        <v>0</v>
      </c>
      <c r="Z321" s="330">
        <v>0</v>
      </c>
      <c r="AA321" s="330">
        <v>0</v>
      </c>
      <c r="AB321" s="330">
        <v>0</v>
      </c>
      <c r="AC321" s="330">
        <v>0</v>
      </c>
      <c r="AD321" s="330">
        <v>0</v>
      </c>
      <c r="AE321" s="330">
        <v>0</v>
      </c>
      <c r="AF321" s="330">
        <v>0</v>
      </c>
      <c r="AG321" s="328">
        <v>0</v>
      </c>
      <c r="AH321" s="329" t="s">
        <v>934</v>
      </c>
      <c r="AI321" s="184">
        <v>16</v>
      </c>
      <c r="AJ321" s="184">
        <v>13</v>
      </c>
      <c r="AK321" s="184">
        <v>28</v>
      </c>
      <c r="AL321" s="184">
        <v>32</v>
      </c>
      <c r="AM321" s="184">
        <v>26</v>
      </c>
      <c r="AN321" s="184">
        <v>15</v>
      </c>
      <c r="AO321" s="184">
        <v>21</v>
      </c>
      <c r="AP321" s="184">
        <v>11</v>
      </c>
      <c r="AQ321" s="336">
        <v>162</v>
      </c>
      <c r="AR321" s="323">
        <v>4</v>
      </c>
      <c r="AS321" s="323">
        <v>3744</v>
      </c>
      <c r="AT321" s="323">
        <v>1573</v>
      </c>
      <c r="AU321" s="323">
        <v>1241</v>
      </c>
      <c r="AV321" s="323">
        <v>827</v>
      </c>
      <c r="AW321" s="323">
        <v>493</v>
      </c>
      <c r="AX321" s="323">
        <v>245</v>
      </c>
      <c r="AY321" s="323">
        <v>163</v>
      </c>
      <c r="AZ321" s="323">
        <v>13</v>
      </c>
      <c r="BA321" s="323">
        <v>8303</v>
      </c>
      <c r="BB321" s="331">
        <v>0</v>
      </c>
      <c r="BC321" s="330">
        <v>39</v>
      </c>
      <c r="BD321" s="330">
        <v>31</v>
      </c>
      <c r="BE321" s="330">
        <v>30</v>
      </c>
      <c r="BF321" s="330">
        <v>18</v>
      </c>
      <c r="BG321" s="330">
        <v>20</v>
      </c>
      <c r="BH321" s="330">
        <v>7</v>
      </c>
      <c r="BI321" s="330">
        <v>7</v>
      </c>
      <c r="BJ321" s="330">
        <v>0</v>
      </c>
      <c r="BK321" s="328">
        <v>152</v>
      </c>
      <c r="BL321" s="323">
        <v>0</v>
      </c>
      <c r="BM321" s="323">
        <v>3</v>
      </c>
      <c r="BN321" s="323">
        <v>7</v>
      </c>
      <c r="BO321" s="323">
        <v>7</v>
      </c>
      <c r="BP321" s="323">
        <v>6</v>
      </c>
      <c r="BQ321" s="323">
        <v>4</v>
      </c>
      <c r="BR321" s="323">
        <v>7</v>
      </c>
      <c r="BS321" s="323">
        <v>14</v>
      </c>
      <c r="BT321" s="323">
        <v>3</v>
      </c>
      <c r="BU321" s="323">
        <v>51</v>
      </c>
      <c r="BV321" s="329" t="s">
        <v>934</v>
      </c>
      <c r="BW321" s="330">
        <v>148</v>
      </c>
      <c r="BX321" s="330">
        <v>94</v>
      </c>
      <c r="BY321" s="330">
        <v>78</v>
      </c>
      <c r="BZ321" s="330">
        <v>48</v>
      </c>
      <c r="CA321" s="330">
        <v>24</v>
      </c>
      <c r="CB321" s="330">
        <v>10</v>
      </c>
      <c r="CC321" s="330">
        <v>23</v>
      </c>
      <c r="CD321" s="330">
        <v>4</v>
      </c>
      <c r="CE321" s="328">
        <v>429</v>
      </c>
      <c r="CF321" s="322" t="s">
        <v>934</v>
      </c>
      <c r="CG321" s="323">
        <v>0</v>
      </c>
      <c r="CH321" s="323">
        <v>0</v>
      </c>
      <c r="CI321" s="323">
        <v>0</v>
      </c>
      <c r="CJ321" s="323">
        <v>0</v>
      </c>
      <c r="CK321" s="323">
        <v>0</v>
      </c>
      <c r="CL321" s="323">
        <v>0</v>
      </c>
      <c r="CM321" s="323">
        <v>0</v>
      </c>
      <c r="CN321" s="323">
        <v>0</v>
      </c>
      <c r="CO321" s="323">
        <v>0</v>
      </c>
      <c r="CP321" s="329" t="s">
        <v>934</v>
      </c>
      <c r="CQ321" s="330">
        <v>140</v>
      </c>
      <c r="CR321" s="330">
        <v>60</v>
      </c>
      <c r="CS321" s="330">
        <v>49</v>
      </c>
      <c r="CT321" s="330">
        <v>37</v>
      </c>
      <c r="CU321" s="330">
        <v>23</v>
      </c>
      <c r="CV321" s="330">
        <v>23</v>
      </c>
      <c r="CW321" s="330">
        <v>5</v>
      </c>
      <c r="CX321" s="330">
        <v>2</v>
      </c>
      <c r="CY321" s="328">
        <v>339</v>
      </c>
      <c r="CZ321" s="322" t="s">
        <v>934</v>
      </c>
      <c r="DA321" s="323">
        <v>0</v>
      </c>
      <c r="DB321" s="323">
        <v>0</v>
      </c>
      <c r="DC321" s="323">
        <v>0</v>
      </c>
      <c r="DD321" s="323">
        <v>0</v>
      </c>
      <c r="DE321" s="323">
        <v>0</v>
      </c>
      <c r="DF321" s="323">
        <v>0</v>
      </c>
      <c r="DG321" s="323">
        <v>0</v>
      </c>
      <c r="DH321" s="323">
        <v>0</v>
      </c>
      <c r="DI321" s="323">
        <v>0</v>
      </c>
      <c r="DJ321" s="337">
        <v>0</v>
      </c>
      <c r="DK321" s="644">
        <v>22594.4</v>
      </c>
      <c r="DL321" s="616">
        <v>8175</v>
      </c>
      <c r="DM321" s="616">
        <v>4395</v>
      </c>
      <c r="DN321" s="616">
        <v>4373</v>
      </c>
      <c r="DO321" s="616">
        <v>3643</v>
      </c>
      <c r="DP321" s="616">
        <v>2868</v>
      </c>
      <c r="DQ321" s="616">
        <v>1942</v>
      </c>
      <c r="DR321" s="616">
        <v>1424</v>
      </c>
      <c r="DS321" s="617">
        <v>142</v>
      </c>
      <c r="DT321" s="607">
        <f t="shared" si="4"/>
        <v>26962</v>
      </c>
      <c r="DU321" s="342"/>
      <c r="EC321" s="646"/>
      <c r="EF321" s="125"/>
      <c r="EG321" s="124"/>
    </row>
    <row r="322" spans="1:137" ht="15">
      <c r="A322" s="22">
        <v>314</v>
      </c>
      <c r="B322" s="23" t="s">
        <v>771</v>
      </c>
      <c r="C322" s="24" t="s">
        <v>772</v>
      </c>
      <c r="D322" s="613"/>
      <c r="E322" s="628">
        <v>956</v>
      </c>
      <c r="F322" s="628">
        <v>3455</v>
      </c>
      <c r="G322" s="628">
        <v>7409</v>
      </c>
      <c r="H322" s="628">
        <v>5818</v>
      </c>
      <c r="I322" s="628">
        <v>5071</v>
      </c>
      <c r="J322" s="628">
        <v>3542</v>
      </c>
      <c r="K322" s="628">
        <v>3822</v>
      </c>
      <c r="L322" s="628">
        <v>364</v>
      </c>
      <c r="M322" s="627">
        <v>30437</v>
      </c>
      <c r="N322" s="322"/>
      <c r="O322" s="323">
        <v>116</v>
      </c>
      <c r="P322" s="323">
        <v>304</v>
      </c>
      <c r="Q322" s="323">
        <v>179</v>
      </c>
      <c r="R322" s="323">
        <v>120</v>
      </c>
      <c r="S322" s="323">
        <v>88</v>
      </c>
      <c r="T322" s="323">
        <v>57</v>
      </c>
      <c r="U322" s="323">
        <v>48</v>
      </c>
      <c r="V322" s="323">
        <v>12</v>
      </c>
      <c r="W322" s="323">
        <v>924</v>
      </c>
      <c r="X322" s="329" t="s">
        <v>934</v>
      </c>
      <c r="Y322" s="330">
        <v>0</v>
      </c>
      <c r="Z322" s="330">
        <v>0</v>
      </c>
      <c r="AA322" s="330">
        <v>0</v>
      </c>
      <c r="AB322" s="330">
        <v>0</v>
      </c>
      <c r="AC322" s="330">
        <v>0</v>
      </c>
      <c r="AD322" s="330">
        <v>0</v>
      </c>
      <c r="AE322" s="330">
        <v>0</v>
      </c>
      <c r="AF322" s="330">
        <v>0</v>
      </c>
      <c r="AG322" s="328">
        <v>0</v>
      </c>
      <c r="AH322" s="329" t="s">
        <v>934</v>
      </c>
      <c r="AI322" s="184">
        <v>2</v>
      </c>
      <c r="AJ322" s="184">
        <v>16</v>
      </c>
      <c r="AK322" s="184">
        <v>32</v>
      </c>
      <c r="AL322" s="184">
        <v>22</v>
      </c>
      <c r="AM322" s="184">
        <v>34</v>
      </c>
      <c r="AN322" s="184">
        <v>26</v>
      </c>
      <c r="AO322" s="184">
        <v>25</v>
      </c>
      <c r="AP322" s="184">
        <v>8</v>
      </c>
      <c r="AQ322" s="336">
        <v>165</v>
      </c>
      <c r="AR322" s="323">
        <v>0</v>
      </c>
      <c r="AS322" s="323">
        <v>443</v>
      </c>
      <c r="AT322" s="323">
        <v>1826</v>
      </c>
      <c r="AU322" s="323">
        <v>2488</v>
      </c>
      <c r="AV322" s="323">
        <v>1503</v>
      </c>
      <c r="AW322" s="323">
        <v>951</v>
      </c>
      <c r="AX322" s="323">
        <v>517</v>
      </c>
      <c r="AY322" s="323">
        <v>416</v>
      </c>
      <c r="AZ322" s="323">
        <v>27</v>
      </c>
      <c r="BA322" s="323">
        <v>8171</v>
      </c>
      <c r="BB322" s="331">
        <v>0</v>
      </c>
      <c r="BC322" s="330">
        <v>3</v>
      </c>
      <c r="BD322" s="330">
        <v>18</v>
      </c>
      <c r="BE322" s="330">
        <v>42</v>
      </c>
      <c r="BF322" s="330">
        <v>20</v>
      </c>
      <c r="BG322" s="330">
        <v>26</v>
      </c>
      <c r="BH322" s="330">
        <v>17</v>
      </c>
      <c r="BI322" s="330">
        <v>13</v>
      </c>
      <c r="BJ322" s="330">
        <v>1</v>
      </c>
      <c r="BK322" s="328">
        <v>140</v>
      </c>
      <c r="BL322" s="323">
        <v>0</v>
      </c>
      <c r="BM322" s="323">
        <v>5</v>
      </c>
      <c r="BN322" s="323">
        <v>9</v>
      </c>
      <c r="BO322" s="323">
        <v>12</v>
      </c>
      <c r="BP322" s="323">
        <v>9</v>
      </c>
      <c r="BQ322" s="323">
        <v>8</v>
      </c>
      <c r="BR322" s="323">
        <v>7</v>
      </c>
      <c r="BS322" s="323">
        <v>6</v>
      </c>
      <c r="BT322" s="323">
        <v>6</v>
      </c>
      <c r="BU322" s="323">
        <v>62</v>
      </c>
      <c r="BV322" s="329" t="s">
        <v>934</v>
      </c>
      <c r="BW322" s="330">
        <v>13</v>
      </c>
      <c r="BX322" s="330">
        <v>26</v>
      </c>
      <c r="BY322" s="330">
        <v>53</v>
      </c>
      <c r="BZ322" s="330">
        <v>31</v>
      </c>
      <c r="CA322" s="330">
        <v>27</v>
      </c>
      <c r="CB322" s="330">
        <v>18</v>
      </c>
      <c r="CC322" s="330">
        <v>22</v>
      </c>
      <c r="CD322" s="330">
        <v>5</v>
      </c>
      <c r="CE322" s="328">
        <v>195</v>
      </c>
      <c r="CF322" s="322" t="s">
        <v>934</v>
      </c>
      <c r="CG322" s="323">
        <v>0</v>
      </c>
      <c r="CH322" s="323">
        <v>0</v>
      </c>
      <c r="CI322" s="323">
        <v>0</v>
      </c>
      <c r="CJ322" s="323">
        <v>0</v>
      </c>
      <c r="CK322" s="323">
        <v>0</v>
      </c>
      <c r="CL322" s="323">
        <v>0</v>
      </c>
      <c r="CM322" s="323">
        <v>0</v>
      </c>
      <c r="CN322" s="323">
        <v>0</v>
      </c>
      <c r="CO322" s="323">
        <v>0</v>
      </c>
      <c r="CP322" s="329" t="s">
        <v>934</v>
      </c>
      <c r="CQ322" s="330">
        <v>40</v>
      </c>
      <c r="CR322" s="330">
        <v>53</v>
      </c>
      <c r="CS322" s="330">
        <v>75</v>
      </c>
      <c r="CT322" s="330">
        <v>53</v>
      </c>
      <c r="CU322" s="330">
        <v>40</v>
      </c>
      <c r="CV322" s="330">
        <v>14</v>
      </c>
      <c r="CW322" s="330">
        <v>22</v>
      </c>
      <c r="CX322" s="330">
        <v>4</v>
      </c>
      <c r="CY322" s="328">
        <v>301</v>
      </c>
      <c r="CZ322" s="322" t="s">
        <v>934</v>
      </c>
      <c r="DA322" s="323">
        <v>0</v>
      </c>
      <c r="DB322" s="323">
        <v>0</v>
      </c>
      <c r="DC322" s="323">
        <v>0</v>
      </c>
      <c r="DD322" s="323">
        <v>0</v>
      </c>
      <c r="DE322" s="323">
        <v>0</v>
      </c>
      <c r="DF322" s="323">
        <v>0</v>
      </c>
      <c r="DG322" s="323">
        <v>0</v>
      </c>
      <c r="DH322" s="323">
        <v>0</v>
      </c>
      <c r="DI322" s="323">
        <v>0</v>
      </c>
      <c r="DJ322" s="337">
        <v>199.8</v>
      </c>
      <c r="DK322" s="644">
        <v>31207.3</v>
      </c>
      <c r="DL322" s="614">
        <v>974</v>
      </c>
      <c r="DM322" s="614">
        <v>3458</v>
      </c>
      <c r="DN322" s="614">
        <v>7485</v>
      </c>
      <c r="DO322" s="614">
        <v>5884</v>
      </c>
      <c r="DP322" s="614">
        <v>5174</v>
      </c>
      <c r="DQ322" s="614">
        <v>3631</v>
      </c>
      <c r="DR322" s="614">
        <v>3868</v>
      </c>
      <c r="DS322" s="615">
        <v>383</v>
      </c>
      <c r="DT322" s="607">
        <f t="shared" si="4"/>
        <v>30857</v>
      </c>
      <c r="DU322" s="342"/>
      <c r="EC322" s="646"/>
      <c r="EF322" s="126"/>
      <c r="EG322" s="124"/>
    </row>
    <row r="323" spans="1:137" ht="15">
      <c r="A323" s="22">
        <v>315</v>
      </c>
      <c r="B323" s="23" t="s">
        <v>773</v>
      </c>
      <c r="C323" s="24" t="s">
        <v>774</v>
      </c>
      <c r="D323" s="613"/>
      <c r="E323" s="628">
        <v>1518</v>
      </c>
      <c r="F323" s="628">
        <v>4640</v>
      </c>
      <c r="G323" s="628">
        <v>14233</v>
      </c>
      <c r="H323" s="628">
        <v>11198</v>
      </c>
      <c r="I323" s="628">
        <v>8521</v>
      </c>
      <c r="J323" s="628">
        <v>4698</v>
      </c>
      <c r="K323" s="628">
        <v>3666</v>
      </c>
      <c r="L323" s="628">
        <v>375</v>
      </c>
      <c r="M323" s="627">
        <v>48849</v>
      </c>
      <c r="N323" s="322"/>
      <c r="O323" s="323">
        <v>125</v>
      </c>
      <c r="P323" s="323">
        <v>234</v>
      </c>
      <c r="Q323" s="323">
        <v>623</v>
      </c>
      <c r="R323" s="323">
        <v>396</v>
      </c>
      <c r="S323" s="323">
        <v>589</v>
      </c>
      <c r="T323" s="323">
        <v>124</v>
      </c>
      <c r="U323" s="323">
        <v>56</v>
      </c>
      <c r="V323" s="323">
        <v>7</v>
      </c>
      <c r="W323" s="323">
        <v>2154</v>
      </c>
      <c r="X323" s="329" t="s">
        <v>934</v>
      </c>
      <c r="Y323" s="330">
        <v>0</v>
      </c>
      <c r="Z323" s="330">
        <v>0</v>
      </c>
      <c r="AA323" s="330">
        <v>0</v>
      </c>
      <c r="AB323" s="330">
        <v>0</v>
      </c>
      <c r="AC323" s="330">
        <v>0</v>
      </c>
      <c r="AD323" s="330">
        <v>0</v>
      </c>
      <c r="AE323" s="330">
        <v>0</v>
      </c>
      <c r="AF323" s="330">
        <v>0</v>
      </c>
      <c r="AG323" s="328">
        <v>0</v>
      </c>
      <c r="AH323" s="329" t="s">
        <v>934</v>
      </c>
      <c r="AI323" s="184">
        <v>1</v>
      </c>
      <c r="AJ323" s="184">
        <v>17</v>
      </c>
      <c r="AK323" s="184">
        <v>86</v>
      </c>
      <c r="AL323" s="184">
        <v>71</v>
      </c>
      <c r="AM323" s="184">
        <v>70</v>
      </c>
      <c r="AN323" s="184">
        <v>34</v>
      </c>
      <c r="AO323" s="184">
        <v>21</v>
      </c>
      <c r="AP323" s="184">
        <v>8</v>
      </c>
      <c r="AQ323" s="336">
        <v>308</v>
      </c>
      <c r="AR323" s="323">
        <v>0</v>
      </c>
      <c r="AS323" s="323">
        <v>734</v>
      </c>
      <c r="AT323" s="323">
        <v>2404</v>
      </c>
      <c r="AU323" s="323">
        <v>4382</v>
      </c>
      <c r="AV323" s="323">
        <v>2655</v>
      </c>
      <c r="AW323" s="323">
        <v>1461</v>
      </c>
      <c r="AX323" s="323">
        <v>683</v>
      </c>
      <c r="AY323" s="323">
        <v>412</v>
      </c>
      <c r="AZ323" s="323">
        <v>20</v>
      </c>
      <c r="BA323" s="323">
        <v>12751</v>
      </c>
      <c r="BB323" s="331">
        <v>0</v>
      </c>
      <c r="BC323" s="330">
        <v>8</v>
      </c>
      <c r="BD323" s="330">
        <v>25</v>
      </c>
      <c r="BE323" s="330">
        <v>105</v>
      </c>
      <c r="BF323" s="330">
        <v>74</v>
      </c>
      <c r="BG323" s="330">
        <v>65</v>
      </c>
      <c r="BH323" s="330">
        <v>28</v>
      </c>
      <c r="BI323" s="330">
        <v>16</v>
      </c>
      <c r="BJ323" s="330">
        <v>5</v>
      </c>
      <c r="BK323" s="328">
        <v>326</v>
      </c>
      <c r="BL323" s="323">
        <v>0</v>
      </c>
      <c r="BM323" s="323">
        <v>4</v>
      </c>
      <c r="BN323" s="323">
        <v>0</v>
      </c>
      <c r="BO323" s="323">
        <v>11</v>
      </c>
      <c r="BP323" s="323">
        <v>4</v>
      </c>
      <c r="BQ323" s="323">
        <v>8</v>
      </c>
      <c r="BR323" s="323">
        <v>6</v>
      </c>
      <c r="BS323" s="323">
        <v>6</v>
      </c>
      <c r="BT323" s="323">
        <v>14</v>
      </c>
      <c r="BU323" s="323">
        <v>53</v>
      </c>
      <c r="BV323" s="329" t="s">
        <v>934</v>
      </c>
      <c r="BW323" s="330">
        <v>28</v>
      </c>
      <c r="BX323" s="330">
        <v>47</v>
      </c>
      <c r="BY323" s="330">
        <v>94</v>
      </c>
      <c r="BZ323" s="330">
        <v>84</v>
      </c>
      <c r="CA323" s="330">
        <v>67</v>
      </c>
      <c r="CB323" s="330">
        <v>46</v>
      </c>
      <c r="CC323" s="330">
        <v>48</v>
      </c>
      <c r="CD323" s="330">
        <v>21</v>
      </c>
      <c r="CE323" s="328">
        <v>435</v>
      </c>
      <c r="CF323" s="322" t="s">
        <v>934</v>
      </c>
      <c r="CG323" s="323">
        <v>66</v>
      </c>
      <c r="CH323" s="323">
        <v>59</v>
      </c>
      <c r="CI323" s="323">
        <v>64</v>
      </c>
      <c r="CJ323" s="323">
        <v>54</v>
      </c>
      <c r="CK323" s="323">
        <v>30</v>
      </c>
      <c r="CL323" s="323">
        <v>20</v>
      </c>
      <c r="CM323" s="323">
        <v>17</v>
      </c>
      <c r="CN323" s="323">
        <v>4</v>
      </c>
      <c r="CO323" s="323">
        <v>314</v>
      </c>
      <c r="CP323" s="329" t="s">
        <v>934</v>
      </c>
      <c r="CQ323" s="330">
        <v>36</v>
      </c>
      <c r="CR323" s="330">
        <v>43</v>
      </c>
      <c r="CS323" s="330">
        <v>67</v>
      </c>
      <c r="CT323" s="330">
        <v>52</v>
      </c>
      <c r="CU323" s="330">
        <v>48</v>
      </c>
      <c r="CV323" s="330">
        <v>18</v>
      </c>
      <c r="CW323" s="330">
        <v>17</v>
      </c>
      <c r="CX323" s="330">
        <v>3</v>
      </c>
      <c r="CY323" s="328">
        <v>284</v>
      </c>
      <c r="CZ323" s="322" t="s">
        <v>934</v>
      </c>
      <c r="DA323" s="323">
        <v>0</v>
      </c>
      <c r="DB323" s="323">
        <v>0</v>
      </c>
      <c r="DC323" s="323">
        <v>0</v>
      </c>
      <c r="DD323" s="323">
        <v>0</v>
      </c>
      <c r="DE323" s="323">
        <v>0</v>
      </c>
      <c r="DF323" s="323">
        <v>0</v>
      </c>
      <c r="DG323" s="323">
        <v>0</v>
      </c>
      <c r="DH323" s="323">
        <v>0</v>
      </c>
      <c r="DI323" s="323">
        <v>0</v>
      </c>
      <c r="DJ323" s="337">
        <v>1041</v>
      </c>
      <c r="DK323" s="644">
        <v>47828.5</v>
      </c>
      <c r="DL323" s="614">
        <v>1532</v>
      </c>
      <c r="DM323" s="614">
        <v>4809</v>
      </c>
      <c r="DN323" s="614">
        <v>14428</v>
      </c>
      <c r="DO323" s="614">
        <v>11210</v>
      </c>
      <c r="DP323" s="614">
        <v>8586</v>
      </c>
      <c r="DQ323" s="614">
        <v>4692</v>
      </c>
      <c r="DR323" s="614">
        <v>3723</v>
      </c>
      <c r="DS323" s="615">
        <v>388</v>
      </c>
      <c r="DT323" s="607">
        <f t="shared" si="4"/>
        <v>49368</v>
      </c>
      <c r="DU323" s="342"/>
      <c r="EC323" s="646"/>
      <c r="EF323" s="126"/>
      <c r="EG323" s="124"/>
    </row>
    <row r="324" spans="1:137" ht="15">
      <c r="A324" s="22">
        <v>316</v>
      </c>
      <c r="B324" s="23" t="s">
        <v>775</v>
      </c>
      <c r="C324" s="24" t="s">
        <v>776</v>
      </c>
      <c r="D324" s="613"/>
      <c r="E324" s="636">
        <v>10687</v>
      </c>
      <c r="F324" s="636">
        <v>12822</v>
      </c>
      <c r="G324" s="636">
        <v>9653</v>
      </c>
      <c r="H324" s="636">
        <v>7610</v>
      </c>
      <c r="I324" s="636">
        <v>5860</v>
      </c>
      <c r="J324" s="636">
        <v>3592</v>
      </c>
      <c r="K324" s="636">
        <v>3368</v>
      </c>
      <c r="L324" s="636">
        <v>324</v>
      </c>
      <c r="M324" s="627">
        <v>53916</v>
      </c>
      <c r="N324" s="322"/>
      <c r="O324" s="323">
        <v>337</v>
      </c>
      <c r="P324" s="323">
        <v>263</v>
      </c>
      <c r="Q324" s="323">
        <v>217</v>
      </c>
      <c r="R324" s="323">
        <v>161</v>
      </c>
      <c r="S324" s="323">
        <v>82</v>
      </c>
      <c r="T324" s="323">
        <v>53</v>
      </c>
      <c r="U324" s="323">
        <v>44</v>
      </c>
      <c r="V324" s="323">
        <v>10</v>
      </c>
      <c r="W324" s="323">
        <v>1167</v>
      </c>
      <c r="X324" s="329" t="s">
        <v>934</v>
      </c>
      <c r="Y324" s="330">
        <v>0</v>
      </c>
      <c r="Z324" s="330">
        <v>0</v>
      </c>
      <c r="AA324" s="330">
        <v>0</v>
      </c>
      <c r="AB324" s="330">
        <v>0</v>
      </c>
      <c r="AC324" s="330">
        <v>0</v>
      </c>
      <c r="AD324" s="330">
        <v>0</v>
      </c>
      <c r="AE324" s="330">
        <v>0</v>
      </c>
      <c r="AF324" s="330">
        <v>0</v>
      </c>
      <c r="AG324" s="328">
        <v>0</v>
      </c>
      <c r="AH324" s="329" t="s">
        <v>934</v>
      </c>
      <c r="AI324" s="184">
        <v>48</v>
      </c>
      <c r="AJ324" s="184">
        <v>87</v>
      </c>
      <c r="AK324" s="184">
        <v>60</v>
      </c>
      <c r="AL324" s="184">
        <v>78</v>
      </c>
      <c r="AM324" s="184">
        <v>54</v>
      </c>
      <c r="AN324" s="184">
        <v>36</v>
      </c>
      <c r="AO324" s="184">
        <v>33</v>
      </c>
      <c r="AP324" s="184">
        <v>17</v>
      </c>
      <c r="AQ324" s="336">
        <v>413</v>
      </c>
      <c r="AR324" s="323">
        <v>16</v>
      </c>
      <c r="AS324" s="323">
        <v>5170</v>
      </c>
      <c r="AT324" s="323">
        <v>4442</v>
      </c>
      <c r="AU324" s="323">
        <v>2864</v>
      </c>
      <c r="AV324" s="323">
        <v>1724</v>
      </c>
      <c r="AW324" s="323">
        <v>1093</v>
      </c>
      <c r="AX324" s="323">
        <v>497</v>
      </c>
      <c r="AY324" s="323">
        <v>375</v>
      </c>
      <c r="AZ324" s="323">
        <v>29</v>
      </c>
      <c r="BA324" s="323">
        <v>16210</v>
      </c>
      <c r="BB324" s="331">
        <v>0</v>
      </c>
      <c r="BC324" s="330">
        <v>40</v>
      </c>
      <c r="BD324" s="330">
        <v>70</v>
      </c>
      <c r="BE324" s="330">
        <v>50</v>
      </c>
      <c r="BF324" s="330">
        <v>38</v>
      </c>
      <c r="BG324" s="330">
        <v>42</v>
      </c>
      <c r="BH324" s="330">
        <v>13</v>
      </c>
      <c r="BI324" s="330">
        <v>18</v>
      </c>
      <c r="BJ324" s="330">
        <v>0</v>
      </c>
      <c r="BK324" s="328">
        <v>271</v>
      </c>
      <c r="BL324" s="323">
        <v>0</v>
      </c>
      <c r="BM324" s="323">
        <v>2</v>
      </c>
      <c r="BN324" s="323">
        <v>10</v>
      </c>
      <c r="BO324" s="323">
        <v>5</v>
      </c>
      <c r="BP324" s="323">
        <v>6</v>
      </c>
      <c r="BQ324" s="323">
        <v>5</v>
      </c>
      <c r="BR324" s="323">
        <v>5</v>
      </c>
      <c r="BS324" s="323">
        <v>19</v>
      </c>
      <c r="BT324" s="323">
        <v>3</v>
      </c>
      <c r="BU324" s="323">
        <v>55</v>
      </c>
      <c r="BV324" s="329" t="s">
        <v>934</v>
      </c>
      <c r="BW324" s="330">
        <v>196</v>
      </c>
      <c r="BX324" s="330">
        <v>166</v>
      </c>
      <c r="BY324" s="330">
        <v>154</v>
      </c>
      <c r="BZ324" s="330">
        <v>94</v>
      </c>
      <c r="CA324" s="330">
        <v>75</v>
      </c>
      <c r="CB324" s="330">
        <v>50</v>
      </c>
      <c r="CC324" s="330">
        <v>44</v>
      </c>
      <c r="CD324" s="330">
        <v>10</v>
      </c>
      <c r="CE324" s="328">
        <v>789</v>
      </c>
      <c r="CF324" s="322" t="s">
        <v>934</v>
      </c>
      <c r="CG324" s="323">
        <v>0</v>
      </c>
      <c r="CH324" s="323">
        <v>0</v>
      </c>
      <c r="CI324" s="323">
        <v>0</v>
      </c>
      <c r="CJ324" s="323">
        <v>0</v>
      </c>
      <c r="CK324" s="323">
        <v>0</v>
      </c>
      <c r="CL324" s="323">
        <v>0</v>
      </c>
      <c r="CM324" s="323">
        <v>0</v>
      </c>
      <c r="CN324" s="323">
        <v>0</v>
      </c>
      <c r="CO324" s="323">
        <v>0</v>
      </c>
      <c r="CP324" s="329" t="s">
        <v>934</v>
      </c>
      <c r="CQ324" s="330">
        <v>0</v>
      </c>
      <c r="CR324" s="330">
        <v>0</v>
      </c>
      <c r="CS324" s="330">
        <v>0</v>
      </c>
      <c r="CT324" s="330">
        <v>0</v>
      </c>
      <c r="CU324" s="330">
        <v>0</v>
      </c>
      <c r="CV324" s="330">
        <v>0</v>
      </c>
      <c r="CW324" s="330">
        <v>0</v>
      </c>
      <c r="CX324" s="330">
        <v>0</v>
      </c>
      <c r="CY324" s="328">
        <v>0</v>
      </c>
      <c r="CZ324" s="322" t="s">
        <v>934</v>
      </c>
      <c r="DA324" s="323">
        <v>0</v>
      </c>
      <c r="DB324" s="323">
        <v>0</v>
      </c>
      <c r="DC324" s="323">
        <v>0</v>
      </c>
      <c r="DD324" s="323">
        <v>0</v>
      </c>
      <c r="DE324" s="323">
        <v>0</v>
      </c>
      <c r="DF324" s="323">
        <v>0</v>
      </c>
      <c r="DG324" s="323">
        <v>0</v>
      </c>
      <c r="DH324" s="323">
        <v>0</v>
      </c>
      <c r="DI324" s="323">
        <v>0</v>
      </c>
      <c r="DJ324" s="337">
        <v>0</v>
      </c>
      <c r="DK324" s="644">
        <v>46677.5</v>
      </c>
      <c r="DL324" s="616">
        <v>10762</v>
      </c>
      <c r="DM324" s="616">
        <v>12954</v>
      </c>
      <c r="DN324" s="616">
        <v>9760</v>
      </c>
      <c r="DO324" s="616">
        <v>7583</v>
      </c>
      <c r="DP324" s="616">
        <v>5887</v>
      </c>
      <c r="DQ324" s="616">
        <v>3647</v>
      </c>
      <c r="DR324" s="616">
        <v>3346</v>
      </c>
      <c r="DS324" s="617">
        <v>324</v>
      </c>
      <c r="DT324" s="607">
        <f t="shared" si="4"/>
        <v>54263</v>
      </c>
      <c r="DU324" s="342"/>
      <c r="EC324" s="646"/>
      <c r="EF324" s="130"/>
      <c r="EG324" s="124"/>
    </row>
    <row r="325" spans="1:137" ht="15">
      <c r="A325" s="22">
        <v>317</v>
      </c>
      <c r="B325" s="23" t="s">
        <v>777</v>
      </c>
      <c r="C325" s="24" t="s">
        <v>778</v>
      </c>
      <c r="D325" s="613"/>
      <c r="E325" s="626">
        <v>75715</v>
      </c>
      <c r="F325" s="626">
        <v>25465</v>
      </c>
      <c r="G325" s="626">
        <v>19590</v>
      </c>
      <c r="H325" s="626">
        <v>11805</v>
      </c>
      <c r="I325" s="626">
        <v>6208</v>
      </c>
      <c r="J325" s="626">
        <v>1985</v>
      </c>
      <c r="K325" s="626">
        <v>1034</v>
      </c>
      <c r="L325" s="626">
        <v>83</v>
      </c>
      <c r="M325" s="627">
        <v>141885</v>
      </c>
      <c r="N325" s="322"/>
      <c r="O325" s="323">
        <v>2076</v>
      </c>
      <c r="P325" s="323">
        <v>560</v>
      </c>
      <c r="Q325" s="323">
        <v>268</v>
      </c>
      <c r="R325" s="323">
        <v>168</v>
      </c>
      <c r="S325" s="323">
        <v>83</v>
      </c>
      <c r="T325" s="323">
        <v>31</v>
      </c>
      <c r="U325" s="323">
        <v>20</v>
      </c>
      <c r="V325" s="323">
        <v>11</v>
      </c>
      <c r="W325" s="323">
        <v>3217</v>
      </c>
      <c r="X325" s="329" t="s">
        <v>934</v>
      </c>
      <c r="Y325" s="330">
        <v>0</v>
      </c>
      <c r="Z325" s="330">
        <v>0</v>
      </c>
      <c r="AA325" s="330">
        <v>2</v>
      </c>
      <c r="AB325" s="330">
        <v>1</v>
      </c>
      <c r="AC325" s="330">
        <v>0</v>
      </c>
      <c r="AD325" s="330">
        <v>0</v>
      </c>
      <c r="AE325" s="330">
        <v>0</v>
      </c>
      <c r="AF325" s="330">
        <v>0</v>
      </c>
      <c r="AG325" s="328">
        <v>3</v>
      </c>
      <c r="AH325" s="329" t="s">
        <v>934</v>
      </c>
      <c r="AI325" s="184">
        <v>255</v>
      </c>
      <c r="AJ325" s="184">
        <v>143</v>
      </c>
      <c r="AK325" s="184">
        <v>133</v>
      </c>
      <c r="AL325" s="184">
        <v>86</v>
      </c>
      <c r="AM325" s="184">
        <v>68</v>
      </c>
      <c r="AN325" s="184">
        <v>20</v>
      </c>
      <c r="AO325" s="184">
        <v>21</v>
      </c>
      <c r="AP325" s="184">
        <v>29</v>
      </c>
      <c r="AQ325" s="336">
        <v>755</v>
      </c>
      <c r="AR325" s="323">
        <v>53</v>
      </c>
      <c r="AS325" s="323">
        <v>31993</v>
      </c>
      <c r="AT325" s="323">
        <v>7270</v>
      </c>
      <c r="AU325" s="323">
        <v>4506</v>
      </c>
      <c r="AV325" s="323">
        <v>1922</v>
      </c>
      <c r="AW325" s="323">
        <v>901</v>
      </c>
      <c r="AX325" s="323">
        <v>241</v>
      </c>
      <c r="AY325" s="323">
        <v>103</v>
      </c>
      <c r="AZ325" s="323">
        <v>5</v>
      </c>
      <c r="BA325" s="323">
        <v>46994</v>
      </c>
      <c r="BB325" s="331">
        <v>6</v>
      </c>
      <c r="BC325" s="330">
        <v>345</v>
      </c>
      <c r="BD325" s="330">
        <v>135</v>
      </c>
      <c r="BE325" s="330">
        <v>98</v>
      </c>
      <c r="BF325" s="330">
        <v>76</v>
      </c>
      <c r="BG325" s="330">
        <v>30</v>
      </c>
      <c r="BH325" s="330">
        <v>10</v>
      </c>
      <c r="BI325" s="330">
        <v>1</v>
      </c>
      <c r="BJ325" s="330">
        <v>0</v>
      </c>
      <c r="BK325" s="328">
        <v>701</v>
      </c>
      <c r="BL325" s="323">
        <v>3</v>
      </c>
      <c r="BM325" s="323">
        <v>22</v>
      </c>
      <c r="BN325" s="323">
        <v>9</v>
      </c>
      <c r="BO325" s="323">
        <v>11</v>
      </c>
      <c r="BP325" s="323">
        <v>24</v>
      </c>
      <c r="BQ325" s="323">
        <v>16</v>
      </c>
      <c r="BR325" s="323">
        <v>17</v>
      </c>
      <c r="BS325" s="323">
        <v>40</v>
      </c>
      <c r="BT325" s="323">
        <v>10</v>
      </c>
      <c r="BU325" s="323">
        <v>152</v>
      </c>
      <c r="BV325" s="329" t="s">
        <v>934</v>
      </c>
      <c r="BW325" s="330">
        <v>20</v>
      </c>
      <c r="BX325" s="330">
        <v>24</v>
      </c>
      <c r="BY325" s="330">
        <v>14</v>
      </c>
      <c r="BZ325" s="330">
        <v>11</v>
      </c>
      <c r="CA325" s="330">
        <v>6</v>
      </c>
      <c r="CB325" s="330">
        <v>2</v>
      </c>
      <c r="CC325" s="330">
        <v>4</v>
      </c>
      <c r="CD325" s="330">
        <v>0</v>
      </c>
      <c r="CE325" s="328">
        <v>81</v>
      </c>
      <c r="CF325" s="322" t="s">
        <v>934</v>
      </c>
      <c r="CG325" s="323">
        <v>1472</v>
      </c>
      <c r="CH325" s="323">
        <v>410</v>
      </c>
      <c r="CI325" s="323">
        <v>270</v>
      </c>
      <c r="CJ325" s="323">
        <v>156</v>
      </c>
      <c r="CK325" s="323">
        <v>69</v>
      </c>
      <c r="CL325" s="323">
        <v>34</v>
      </c>
      <c r="CM325" s="323">
        <v>19</v>
      </c>
      <c r="CN325" s="323">
        <v>2</v>
      </c>
      <c r="CO325" s="323">
        <v>2432</v>
      </c>
      <c r="CP325" s="329" t="s">
        <v>934</v>
      </c>
      <c r="CQ325" s="330">
        <v>0</v>
      </c>
      <c r="CR325" s="330">
        <v>0</v>
      </c>
      <c r="CS325" s="330">
        <v>0</v>
      </c>
      <c r="CT325" s="330">
        <v>0</v>
      </c>
      <c r="CU325" s="330">
        <v>0</v>
      </c>
      <c r="CV325" s="330">
        <v>0</v>
      </c>
      <c r="CW325" s="330">
        <v>0</v>
      </c>
      <c r="CX325" s="330">
        <v>0</v>
      </c>
      <c r="CY325" s="328">
        <v>0</v>
      </c>
      <c r="CZ325" s="322" t="s">
        <v>934</v>
      </c>
      <c r="DA325" s="323">
        <v>0</v>
      </c>
      <c r="DB325" s="323">
        <v>0</v>
      </c>
      <c r="DC325" s="323">
        <v>0</v>
      </c>
      <c r="DD325" s="323">
        <v>0</v>
      </c>
      <c r="DE325" s="323">
        <v>0</v>
      </c>
      <c r="DF325" s="323">
        <v>0</v>
      </c>
      <c r="DG325" s="323">
        <v>0</v>
      </c>
      <c r="DH325" s="323">
        <v>0</v>
      </c>
      <c r="DI325" s="323">
        <v>0</v>
      </c>
      <c r="DJ325" s="337">
        <v>0</v>
      </c>
      <c r="DK325" s="644">
        <v>99478</v>
      </c>
      <c r="DL325" s="614">
        <v>76094</v>
      </c>
      <c r="DM325" s="614">
        <v>25821</v>
      </c>
      <c r="DN325" s="614">
        <v>19804</v>
      </c>
      <c r="DO325" s="614">
        <v>12054</v>
      </c>
      <c r="DP325" s="614">
        <v>6268</v>
      </c>
      <c r="DQ325" s="614">
        <v>2020</v>
      </c>
      <c r="DR325" s="614">
        <v>1066</v>
      </c>
      <c r="DS325" s="615">
        <v>85</v>
      </c>
      <c r="DT325" s="607">
        <f t="shared" si="4"/>
        <v>143212</v>
      </c>
      <c r="DU325" s="342"/>
      <c r="EC325" s="646"/>
      <c r="EF325" s="126"/>
      <c r="EG325" s="124"/>
    </row>
    <row r="326" spans="1:137" ht="15">
      <c r="A326" s="22">
        <v>318</v>
      </c>
      <c r="B326" s="23" t="s">
        <v>779</v>
      </c>
      <c r="C326" s="24" t="s">
        <v>780</v>
      </c>
      <c r="D326" s="613"/>
      <c r="E326" s="628">
        <v>49267</v>
      </c>
      <c r="F326" s="628">
        <v>24583</v>
      </c>
      <c r="G326" s="628">
        <v>16497</v>
      </c>
      <c r="H326" s="628">
        <v>9526</v>
      </c>
      <c r="I326" s="628">
        <v>5282</v>
      </c>
      <c r="J326" s="628">
        <v>2205</v>
      </c>
      <c r="K326" s="628">
        <v>718</v>
      </c>
      <c r="L326" s="628">
        <v>54</v>
      </c>
      <c r="M326" s="627">
        <v>108132</v>
      </c>
      <c r="N326" s="322"/>
      <c r="O326" s="323">
        <v>1470</v>
      </c>
      <c r="P326" s="323">
        <v>465</v>
      </c>
      <c r="Q326" s="323">
        <v>239</v>
      </c>
      <c r="R326" s="323">
        <v>143</v>
      </c>
      <c r="S326" s="323">
        <v>78</v>
      </c>
      <c r="T326" s="323">
        <v>20</v>
      </c>
      <c r="U326" s="323">
        <v>14</v>
      </c>
      <c r="V326" s="323">
        <v>0</v>
      </c>
      <c r="W326" s="323">
        <v>2429</v>
      </c>
      <c r="X326" s="329" t="s">
        <v>934</v>
      </c>
      <c r="Y326" s="330">
        <v>37</v>
      </c>
      <c r="Z326" s="330">
        <v>1</v>
      </c>
      <c r="AA326" s="330">
        <v>0</v>
      </c>
      <c r="AB326" s="330">
        <v>0</v>
      </c>
      <c r="AC326" s="330">
        <v>0</v>
      </c>
      <c r="AD326" s="330">
        <v>0</v>
      </c>
      <c r="AE326" s="330">
        <v>0</v>
      </c>
      <c r="AF326" s="330">
        <v>1</v>
      </c>
      <c r="AG326" s="328">
        <v>39</v>
      </c>
      <c r="AH326" s="329" t="s">
        <v>934</v>
      </c>
      <c r="AI326" s="184">
        <v>71</v>
      </c>
      <c r="AJ326" s="184">
        <v>257</v>
      </c>
      <c r="AK326" s="184">
        <v>192</v>
      </c>
      <c r="AL326" s="184">
        <v>104</v>
      </c>
      <c r="AM326" s="184">
        <v>72</v>
      </c>
      <c r="AN326" s="184">
        <v>36</v>
      </c>
      <c r="AO326" s="184">
        <v>24</v>
      </c>
      <c r="AP326" s="184">
        <v>15</v>
      </c>
      <c r="AQ326" s="336">
        <v>771</v>
      </c>
      <c r="AR326" s="323">
        <v>15</v>
      </c>
      <c r="AS326" s="323">
        <v>19727</v>
      </c>
      <c r="AT326" s="323">
        <v>7113</v>
      </c>
      <c r="AU326" s="323">
        <v>3885</v>
      </c>
      <c r="AV326" s="323">
        <v>1739</v>
      </c>
      <c r="AW326" s="323">
        <v>880</v>
      </c>
      <c r="AX326" s="323">
        <v>293</v>
      </c>
      <c r="AY326" s="323">
        <v>57</v>
      </c>
      <c r="AZ326" s="323">
        <v>2</v>
      </c>
      <c r="BA326" s="323">
        <v>33711</v>
      </c>
      <c r="BB326" s="331">
        <v>2</v>
      </c>
      <c r="BC326" s="330">
        <v>190</v>
      </c>
      <c r="BD326" s="330">
        <v>138</v>
      </c>
      <c r="BE326" s="330">
        <v>88</v>
      </c>
      <c r="BF326" s="330">
        <v>52</v>
      </c>
      <c r="BG326" s="330">
        <v>23</v>
      </c>
      <c r="BH326" s="330">
        <v>12</v>
      </c>
      <c r="BI326" s="330">
        <v>1</v>
      </c>
      <c r="BJ326" s="330">
        <v>0</v>
      </c>
      <c r="BK326" s="328">
        <v>506</v>
      </c>
      <c r="BL326" s="323">
        <v>0</v>
      </c>
      <c r="BM326" s="323">
        <v>28</v>
      </c>
      <c r="BN326" s="323">
        <v>18</v>
      </c>
      <c r="BO326" s="323">
        <v>18</v>
      </c>
      <c r="BP326" s="323">
        <v>11</v>
      </c>
      <c r="BQ326" s="323">
        <v>14</v>
      </c>
      <c r="BR326" s="323">
        <v>12</v>
      </c>
      <c r="BS326" s="323">
        <v>25</v>
      </c>
      <c r="BT326" s="323">
        <v>20</v>
      </c>
      <c r="BU326" s="323">
        <v>146</v>
      </c>
      <c r="BV326" s="329" t="s">
        <v>934</v>
      </c>
      <c r="BW326" s="330">
        <v>15</v>
      </c>
      <c r="BX326" s="330">
        <v>7</v>
      </c>
      <c r="BY326" s="330">
        <v>4</v>
      </c>
      <c r="BZ326" s="330">
        <v>2</v>
      </c>
      <c r="CA326" s="330">
        <v>4</v>
      </c>
      <c r="CB326" s="330">
        <v>0</v>
      </c>
      <c r="CC326" s="330">
        <v>0</v>
      </c>
      <c r="CD326" s="330">
        <v>0</v>
      </c>
      <c r="CE326" s="328">
        <v>32</v>
      </c>
      <c r="CF326" s="322" t="s">
        <v>934</v>
      </c>
      <c r="CG326" s="323">
        <v>2052</v>
      </c>
      <c r="CH326" s="323">
        <v>326</v>
      </c>
      <c r="CI326" s="323">
        <v>173</v>
      </c>
      <c r="CJ326" s="323">
        <v>87</v>
      </c>
      <c r="CK326" s="323">
        <v>58</v>
      </c>
      <c r="CL326" s="323">
        <v>38</v>
      </c>
      <c r="CM326" s="323">
        <v>14</v>
      </c>
      <c r="CN326" s="323">
        <v>1</v>
      </c>
      <c r="CO326" s="323">
        <v>2749</v>
      </c>
      <c r="CP326" s="329" t="s">
        <v>934</v>
      </c>
      <c r="CQ326" s="330">
        <v>0</v>
      </c>
      <c r="CR326" s="330">
        <v>0</v>
      </c>
      <c r="CS326" s="330">
        <v>0</v>
      </c>
      <c r="CT326" s="330">
        <v>0</v>
      </c>
      <c r="CU326" s="330">
        <v>0</v>
      </c>
      <c r="CV326" s="330">
        <v>0</v>
      </c>
      <c r="CW326" s="330">
        <v>0</v>
      </c>
      <c r="CX326" s="330">
        <v>0</v>
      </c>
      <c r="CY326" s="328">
        <v>0</v>
      </c>
      <c r="CZ326" s="322" t="s">
        <v>934</v>
      </c>
      <c r="DA326" s="323">
        <v>0</v>
      </c>
      <c r="DB326" s="323">
        <v>0</v>
      </c>
      <c r="DC326" s="323">
        <v>0</v>
      </c>
      <c r="DD326" s="323">
        <v>0</v>
      </c>
      <c r="DE326" s="323">
        <v>0</v>
      </c>
      <c r="DF326" s="323">
        <v>0</v>
      </c>
      <c r="DG326" s="323">
        <v>0</v>
      </c>
      <c r="DH326" s="323">
        <v>0</v>
      </c>
      <c r="DI326" s="323">
        <v>0</v>
      </c>
      <c r="DJ326" s="337">
        <v>0</v>
      </c>
      <c r="DK326" s="644">
        <v>77543.4</v>
      </c>
      <c r="DL326" s="614">
        <v>49445</v>
      </c>
      <c r="DM326" s="614">
        <v>24827</v>
      </c>
      <c r="DN326" s="614">
        <v>16640</v>
      </c>
      <c r="DO326" s="614">
        <v>9638</v>
      </c>
      <c r="DP326" s="614">
        <v>5304</v>
      </c>
      <c r="DQ326" s="614">
        <v>2246</v>
      </c>
      <c r="DR326" s="614">
        <v>723</v>
      </c>
      <c r="DS326" s="615">
        <v>55</v>
      </c>
      <c r="DT326" s="607">
        <f t="shared" si="4"/>
        <v>108878</v>
      </c>
      <c r="DU326" s="342"/>
      <c r="EC326" s="646"/>
      <c r="EF326" s="126"/>
      <c r="EG326" s="124"/>
    </row>
    <row r="327" spans="1:137" ht="15">
      <c r="A327" s="22">
        <v>319</v>
      </c>
      <c r="B327" s="23" t="s">
        <v>781</v>
      </c>
      <c r="C327" s="24" t="s">
        <v>782</v>
      </c>
      <c r="D327" s="613"/>
      <c r="E327" s="626">
        <v>3597</v>
      </c>
      <c r="F327" s="626">
        <v>26598</v>
      </c>
      <c r="G327" s="626">
        <v>32666</v>
      </c>
      <c r="H327" s="626">
        <v>22208</v>
      </c>
      <c r="I327" s="626">
        <v>8131</v>
      </c>
      <c r="J327" s="626">
        <v>1793</v>
      </c>
      <c r="K327" s="626">
        <v>435</v>
      </c>
      <c r="L327" s="626">
        <v>29</v>
      </c>
      <c r="M327" s="627">
        <v>95457</v>
      </c>
      <c r="N327" s="322"/>
      <c r="O327" s="323">
        <v>179</v>
      </c>
      <c r="P327" s="323">
        <v>1130</v>
      </c>
      <c r="Q327" s="323">
        <v>870</v>
      </c>
      <c r="R327" s="323">
        <v>405</v>
      </c>
      <c r="S327" s="323">
        <v>138</v>
      </c>
      <c r="T327" s="323">
        <v>18</v>
      </c>
      <c r="U327" s="323">
        <v>9</v>
      </c>
      <c r="V327" s="323">
        <v>0</v>
      </c>
      <c r="W327" s="323">
        <v>2749</v>
      </c>
      <c r="X327" s="329" t="s">
        <v>934</v>
      </c>
      <c r="Y327" s="330">
        <v>239</v>
      </c>
      <c r="Z327" s="330">
        <v>4</v>
      </c>
      <c r="AA327" s="330">
        <v>0</v>
      </c>
      <c r="AB327" s="330">
        <v>2</v>
      </c>
      <c r="AC327" s="330">
        <v>1</v>
      </c>
      <c r="AD327" s="330">
        <v>0</v>
      </c>
      <c r="AE327" s="330">
        <v>0</v>
      </c>
      <c r="AF327" s="330">
        <v>0</v>
      </c>
      <c r="AG327" s="328">
        <v>246</v>
      </c>
      <c r="AH327" s="329" t="s">
        <v>934</v>
      </c>
      <c r="AI327" s="184">
        <v>2</v>
      </c>
      <c r="AJ327" s="184">
        <v>17</v>
      </c>
      <c r="AK327" s="184">
        <v>71</v>
      </c>
      <c r="AL327" s="184">
        <v>92</v>
      </c>
      <c r="AM327" s="184">
        <v>73</v>
      </c>
      <c r="AN327" s="184">
        <v>18</v>
      </c>
      <c r="AO327" s="184">
        <v>7</v>
      </c>
      <c r="AP327" s="184">
        <v>3</v>
      </c>
      <c r="AQ327" s="336">
        <v>283</v>
      </c>
      <c r="AR327" s="323">
        <v>2</v>
      </c>
      <c r="AS327" s="323">
        <v>1676</v>
      </c>
      <c r="AT327" s="323">
        <v>13446</v>
      </c>
      <c r="AU327" s="323">
        <v>11566</v>
      </c>
      <c r="AV327" s="323">
        <v>5837</v>
      </c>
      <c r="AW327" s="323">
        <v>1684</v>
      </c>
      <c r="AX327" s="323">
        <v>248</v>
      </c>
      <c r="AY327" s="323">
        <v>52</v>
      </c>
      <c r="AZ327" s="323">
        <v>0</v>
      </c>
      <c r="BA327" s="323">
        <v>34511</v>
      </c>
      <c r="BB327" s="331">
        <v>0</v>
      </c>
      <c r="BC327" s="330">
        <v>35</v>
      </c>
      <c r="BD327" s="330">
        <v>245</v>
      </c>
      <c r="BE327" s="330">
        <v>335</v>
      </c>
      <c r="BF327" s="330">
        <v>224</v>
      </c>
      <c r="BG327" s="330">
        <v>62</v>
      </c>
      <c r="BH327" s="330">
        <v>10</v>
      </c>
      <c r="BI327" s="330">
        <v>2</v>
      </c>
      <c r="BJ327" s="330">
        <v>0</v>
      </c>
      <c r="BK327" s="328">
        <v>913</v>
      </c>
      <c r="BL327" s="323">
        <v>0</v>
      </c>
      <c r="BM327" s="323">
        <v>0</v>
      </c>
      <c r="BN327" s="323">
        <v>4</v>
      </c>
      <c r="BO327" s="323">
        <v>19</v>
      </c>
      <c r="BP327" s="323">
        <v>24</v>
      </c>
      <c r="BQ327" s="323">
        <v>23</v>
      </c>
      <c r="BR327" s="323">
        <v>17</v>
      </c>
      <c r="BS327" s="323">
        <v>20</v>
      </c>
      <c r="BT327" s="323">
        <v>15</v>
      </c>
      <c r="BU327" s="323">
        <v>122</v>
      </c>
      <c r="BV327" s="329" t="s">
        <v>934</v>
      </c>
      <c r="BW327" s="330">
        <v>89</v>
      </c>
      <c r="BX327" s="330">
        <v>388</v>
      </c>
      <c r="BY327" s="330">
        <v>303</v>
      </c>
      <c r="BZ327" s="330">
        <v>110</v>
      </c>
      <c r="CA327" s="330">
        <v>30</v>
      </c>
      <c r="CB327" s="330">
        <v>9</v>
      </c>
      <c r="CC327" s="330">
        <v>3</v>
      </c>
      <c r="CD327" s="330">
        <v>1</v>
      </c>
      <c r="CE327" s="328">
        <v>933</v>
      </c>
      <c r="CF327" s="322" t="s">
        <v>934</v>
      </c>
      <c r="CG327" s="323">
        <v>0</v>
      </c>
      <c r="CH327" s="323">
        <v>0</v>
      </c>
      <c r="CI327" s="323">
        <v>0</v>
      </c>
      <c r="CJ327" s="323">
        <v>0</v>
      </c>
      <c r="CK327" s="323">
        <v>0</v>
      </c>
      <c r="CL327" s="323">
        <v>0</v>
      </c>
      <c r="CM327" s="323">
        <v>0</v>
      </c>
      <c r="CN327" s="323">
        <v>0</v>
      </c>
      <c r="CO327" s="323">
        <v>0</v>
      </c>
      <c r="CP327" s="329" t="s">
        <v>934</v>
      </c>
      <c r="CQ327" s="330">
        <v>0</v>
      </c>
      <c r="CR327" s="330">
        <v>65</v>
      </c>
      <c r="CS327" s="330">
        <v>298</v>
      </c>
      <c r="CT327" s="330">
        <v>273</v>
      </c>
      <c r="CU327" s="330">
        <v>135</v>
      </c>
      <c r="CV327" s="330">
        <v>44</v>
      </c>
      <c r="CW327" s="330">
        <v>12</v>
      </c>
      <c r="CX327" s="330">
        <v>5</v>
      </c>
      <c r="CY327" s="328">
        <v>832</v>
      </c>
      <c r="CZ327" s="322" t="s">
        <v>934</v>
      </c>
      <c r="DA327" s="323">
        <v>0</v>
      </c>
      <c r="DB327" s="323">
        <v>0</v>
      </c>
      <c r="DC327" s="323">
        <v>0</v>
      </c>
      <c r="DD327" s="323">
        <v>0</v>
      </c>
      <c r="DE327" s="323">
        <v>0</v>
      </c>
      <c r="DF327" s="323">
        <v>0</v>
      </c>
      <c r="DG327" s="323">
        <v>0</v>
      </c>
      <c r="DH327" s="323">
        <v>0</v>
      </c>
      <c r="DI327" s="323">
        <v>0</v>
      </c>
      <c r="DJ327" s="337">
        <v>0</v>
      </c>
      <c r="DK327" s="644">
        <v>76810.6</v>
      </c>
      <c r="DL327" s="614">
        <v>3439</v>
      </c>
      <c r="DM327" s="614">
        <v>27121</v>
      </c>
      <c r="DN327" s="614">
        <v>33200</v>
      </c>
      <c r="DO327" s="614">
        <v>22219</v>
      </c>
      <c r="DP327" s="614">
        <v>8125</v>
      </c>
      <c r="DQ327" s="614">
        <v>1798</v>
      </c>
      <c r="DR327" s="614">
        <v>435</v>
      </c>
      <c r="DS327" s="615">
        <v>29</v>
      </c>
      <c r="DT327" s="607">
        <f t="shared" si="4"/>
        <v>96366</v>
      </c>
      <c r="DU327" s="342"/>
      <c r="EC327" s="646"/>
      <c r="EF327" s="126"/>
      <c r="EG327" s="124"/>
    </row>
    <row r="328" spans="1:137" ht="15">
      <c r="A328" s="22">
        <v>320</v>
      </c>
      <c r="B328" s="23" t="s">
        <v>783</v>
      </c>
      <c r="C328" s="24" t="s">
        <v>784</v>
      </c>
      <c r="D328" s="613"/>
      <c r="E328" s="640">
        <v>6067</v>
      </c>
      <c r="F328" s="640">
        <v>11848</v>
      </c>
      <c r="G328" s="629">
        <v>35030</v>
      </c>
      <c r="H328" s="629">
        <v>29835</v>
      </c>
      <c r="I328" s="629">
        <v>18842</v>
      </c>
      <c r="J328" s="629">
        <v>12986</v>
      </c>
      <c r="K328" s="629">
        <v>11465</v>
      </c>
      <c r="L328" s="629">
        <v>2233</v>
      </c>
      <c r="M328" s="633">
        <v>128306</v>
      </c>
      <c r="N328" s="322"/>
      <c r="O328" s="323">
        <v>166</v>
      </c>
      <c r="P328" s="323">
        <v>233</v>
      </c>
      <c r="Q328" s="323">
        <v>651</v>
      </c>
      <c r="R328" s="323">
        <v>428</v>
      </c>
      <c r="S328" s="323">
        <v>257</v>
      </c>
      <c r="T328" s="323">
        <v>138</v>
      </c>
      <c r="U328" s="323">
        <v>217</v>
      </c>
      <c r="V328" s="323">
        <v>61</v>
      </c>
      <c r="W328" s="323">
        <v>2151</v>
      </c>
      <c r="X328" s="329" t="s">
        <v>934</v>
      </c>
      <c r="Y328" s="330">
        <v>0</v>
      </c>
      <c r="Z328" s="330">
        <v>0</v>
      </c>
      <c r="AA328" s="330">
        <v>0</v>
      </c>
      <c r="AB328" s="330">
        <v>0</v>
      </c>
      <c r="AC328" s="330">
        <v>0</v>
      </c>
      <c r="AD328" s="330">
        <v>0</v>
      </c>
      <c r="AE328" s="330">
        <v>0</v>
      </c>
      <c r="AF328" s="330">
        <v>0</v>
      </c>
      <c r="AG328" s="328">
        <v>0</v>
      </c>
      <c r="AH328" s="329" t="s">
        <v>934</v>
      </c>
      <c r="AI328" s="184">
        <v>1</v>
      </c>
      <c r="AJ328" s="184">
        <v>10</v>
      </c>
      <c r="AK328" s="184">
        <v>48</v>
      </c>
      <c r="AL328" s="184">
        <v>58</v>
      </c>
      <c r="AM328" s="184">
        <v>67</v>
      </c>
      <c r="AN328" s="184">
        <v>39</v>
      </c>
      <c r="AO328" s="184">
        <v>38</v>
      </c>
      <c r="AP328" s="184">
        <v>8</v>
      </c>
      <c r="AQ328" s="336">
        <v>269</v>
      </c>
      <c r="AR328" s="323">
        <v>0</v>
      </c>
      <c r="AS328" s="323">
        <v>3221</v>
      </c>
      <c r="AT328" s="323">
        <v>6357</v>
      </c>
      <c r="AU328" s="323">
        <v>13210</v>
      </c>
      <c r="AV328" s="323">
        <v>8951</v>
      </c>
      <c r="AW328" s="323">
        <v>4815</v>
      </c>
      <c r="AX328" s="323">
        <v>2745</v>
      </c>
      <c r="AY328" s="323">
        <v>1680</v>
      </c>
      <c r="AZ328" s="323">
        <v>183</v>
      </c>
      <c r="BA328" s="323">
        <v>41162</v>
      </c>
      <c r="BB328" s="331">
        <v>0</v>
      </c>
      <c r="BC328" s="330">
        <v>29</v>
      </c>
      <c r="BD328" s="330">
        <v>69</v>
      </c>
      <c r="BE328" s="330">
        <v>238</v>
      </c>
      <c r="BF328" s="330">
        <v>198</v>
      </c>
      <c r="BG328" s="330">
        <v>92</v>
      </c>
      <c r="BH328" s="330">
        <v>57</v>
      </c>
      <c r="BI328" s="330">
        <v>32</v>
      </c>
      <c r="BJ328" s="330">
        <v>8</v>
      </c>
      <c r="BK328" s="328">
        <v>723</v>
      </c>
      <c r="BL328" s="323">
        <v>0</v>
      </c>
      <c r="BM328" s="323">
        <v>1</v>
      </c>
      <c r="BN328" s="323">
        <v>2</v>
      </c>
      <c r="BO328" s="323">
        <v>17</v>
      </c>
      <c r="BP328" s="323">
        <v>15</v>
      </c>
      <c r="BQ328" s="323">
        <v>23</v>
      </c>
      <c r="BR328" s="323">
        <v>21</v>
      </c>
      <c r="BS328" s="323">
        <v>57</v>
      </c>
      <c r="BT328" s="323">
        <v>46</v>
      </c>
      <c r="BU328" s="323">
        <v>182</v>
      </c>
      <c r="BV328" s="329" t="s">
        <v>934</v>
      </c>
      <c r="BW328" s="330">
        <v>42</v>
      </c>
      <c r="BX328" s="330">
        <v>116</v>
      </c>
      <c r="BY328" s="330">
        <v>434</v>
      </c>
      <c r="BZ328" s="330">
        <v>399</v>
      </c>
      <c r="CA328" s="330">
        <v>251</v>
      </c>
      <c r="CB328" s="330">
        <v>196</v>
      </c>
      <c r="CC328" s="330">
        <v>168</v>
      </c>
      <c r="CD328" s="330">
        <v>66</v>
      </c>
      <c r="CE328" s="328">
        <v>1672</v>
      </c>
      <c r="CF328" s="322" t="s">
        <v>934</v>
      </c>
      <c r="CG328" s="323">
        <v>0</v>
      </c>
      <c r="CH328" s="323">
        <v>0</v>
      </c>
      <c r="CI328" s="323">
        <v>0</v>
      </c>
      <c r="CJ328" s="323">
        <v>0</v>
      </c>
      <c r="CK328" s="323">
        <v>0</v>
      </c>
      <c r="CL328" s="323">
        <v>0</v>
      </c>
      <c r="CM328" s="323">
        <v>0</v>
      </c>
      <c r="CN328" s="323">
        <v>0</v>
      </c>
      <c r="CO328" s="323">
        <v>0</v>
      </c>
      <c r="CP328" s="329" t="s">
        <v>934</v>
      </c>
      <c r="CQ328" s="330">
        <v>0</v>
      </c>
      <c r="CR328" s="330">
        <v>0</v>
      </c>
      <c r="CS328" s="330">
        <v>0</v>
      </c>
      <c r="CT328" s="330">
        <v>0</v>
      </c>
      <c r="CU328" s="330">
        <v>0</v>
      </c>
      <c r="CV328" s="330">
        <v>0</v>
      </c>
      <c r="CW328" s="330">
        <v>0</v>
      </c>
      <c r="CX328" s="330">
        <v>0</v>
      </c>
      <c r="CY328" s="328">
        <v>0</v>
      </c>
      <c r="CZ328" s="322" t="s">
        <v>934</v>
      </c>
      <c r="DA328" s="323">
        <v>111</v>
      </c>
      <c r="DB328" s="323">
        <v>98</v>
      </c>
      <c r="DC328" s="323">
        <v>258</v>
      </c>
      <c r="DD328" s="323">
        <v>211</v>
      </c>
      <c r="DE328" s="323">
        <v>120</v>
      </c>
      <c r="DF328" s="323">
        <v>64</v>
      </c>
      <c r="DG328" s="323">
        <v>67</v>
      </c>
      <c r="DH328" s="323">
        <v>24</v>
      </c>
      <c r="DI328" s="323">
        <v>953</v>
      </c>
      <c r="DJ328" s="337">
        <v>125</v>
      </c>
      <c r="DK328" s="644">
        <v>125654.9</v>
      </c>
      <c r="DL328" s="616">
        <v>6058</v>
      </c>
      <c r="DM328" s="616">
        <v>11911</v>
      </c>
      <c r="DN328" s="616">
        <v>35194</v>
      </c>
      <c r="DO328" s="616">
        <v>30193</v>
      </c>
      <c r="DP328" s="616">
        <v>19329</v>
      </c>
      <c r="DQ328" s="616">
        <v>13405</v>
      </c>
      <c r="DR328" s="616">
        <v>11662</v>
      </c>
      <c r="DS328" s="617">
        <v>2294</v>
      </c>
      <c r="DT328" s="608">
        <f t="shared" si="4"/>
        <v>130046</v>
      </c>
      <c r="DU328" s="342"/>
      <c r="EC328" s="646"/>
      <c r="EF328" s="131"/>
      <c r="EG328" s="128"/>
    </row>
    <row r="329" spans="1:137" ht="15">
      <c r="A329" s="22">
        <v>321</v>
      </c>
      <c r="B329" s="23" t="s">
        <v>785</v>
      </c>
      <c r="C329" s="24" t="s">
        <v>786</v>
      </c>
      <c r="D329" s="613"/>
      <c r="E329" s="629">
        <v>19809</v>
      </c>
      <c r="F329" s="629">
        <v>3669</v>
      </c>
      <c r="G329" s="629">
        <v>2353</v>
      </c>
      <c r="H329" s="629">
        <v>1808</v>
      </c>
      <c r="I329" s="629">
        <v>526</v>
      </c>
      <c r="J329" s="629">
        <v>124</v>
      </c>
      <c r="K329" s="629">
        <v>76</v>
      </c>
      <c r="L329" s="629">
        <v>11</v>
      </c>
      <c r="M329" s="627">
        <v>28376</v>
      </c>
      <c r="N329" s="322"/>
      <c r="O329" s="323">
        <v>657</v>
      </c>
      <c r="P329" s="323">
        <v>48</v>
      </c>
      <c r="Q329" s="323">
        <v>29</v>
      </c>
      <c r="R329" s="323">
        <v>17</v>
      </c>
      <c r="S329" s="323">
        <v>7</v>
      </c>
      <c r="T329" s="323">
        <v>6</v>
      </c>
      <c r="U329" s="323">
        <v>1</v>
      </c>
      <c r="V329" s="323">
        <v>1</v>
      </c>
      <c r="W329" s="323">
        <v>766</v>
      </c>
      <c r="X329" s="329" t="s">
        <v>934</v>
      </c>
      <c r="Y329" s="330">
        <v>0</v>
      </c>
      <c r="Z329" s="330">
        <v>0</v>
      </c>
      <c r="AA329" s="330">
        <v>0</v>
      </c>
      <c r="AB329" s="330">
        <v>0</v>
      </c>
      <c r="AC329" s="330">
        <v>0</v>
      </c>
      <c r="AD329" s="330">
        <v>0</v>
      </c>
      <c r="AE329" s="330">
        <v>0</v>
      </c>
      <c r="AF329" s="330">
        <v>0</v>
      </c>
      <c r="AG329" s="328">
        <v>0</v>
      </c>
      <c r="AH329" s="329" t="s">
        <v>934</v>
      </c>
      <c r="AI329" s="184">
        <v>93</v>
      </c>
      <c r="AJ329" s="184">
        <v>23</v>
      </c>
      <c r="AK329" s="184">
        <v>21</v>
      </c>
      <c r="AL329" s="184">
        <v>17</v>
      </c>
      <c r="AM329" s="184">
        <v>10</v>
      </c>
      <c r="AN329" s="184">
        <v>2</v>
      </c>
      <c r="AO329" s="184">
        <v>5</v>
      </c>
      <c r="AP329" s="184">
        <v>5</v>
      </c>
      <c r="AQ329" s="336">
        <v>176</v>
      </c>
      <c r="AR329" s="323">
        <v>17</v>
      </c>
      <c r="AS329" s="323">
        <v>8827</v>
      </c>
      <c r="AT329" s="323">
        <v>914</v>
      </c>
      <c r="AU329" s="323">
        <v>446</v>
      </c>
      <c r="AV329" s="323">
        <v>222</v>
      </c>
      <c r="AW329" s="323">
        <v>58</v>
      </c>
      <c r="AX329" s="323">
        <v>17</v>
      </c>
      <c r="AY329" s="323">
        <v>8</v>
      </c>
      <c r="AZ329" s="323">
        <v>0</v>
      </c>
      <c r="BA329" s="323">
        <v>10509</v>
      </c>
      <c r="BB329" s="331">
        <v>5</v>
      </c>
      <c r="BC329" s="330">
        <v>174</v>
      </c>
      <c r="BD329" s="330">
        <v>47</v>
      </c>
      <c r="BE329" s="330">
        <v>26</v>
      </c>
      <c r="BF329" s="330">
        <v>19</v>
      </c>
      <c r="BG329" s="330">
        <v>1</v>
      </c>
      <c r="BH329" s="330">
        <v>1</v>
      </c>
      <c r="BI329" s="330">
        <v>1</v>
      </c>
      <c r="BJ329" s="330">
        <v>0</v>
      </c>
      <c r="BK329" s="328">
        <v>274</v>
      </c>
      <c r="BL329" s="323">
        <v>0</v>
      </c>
      <c r="BM329" s="323">
        <v>10</v>
      </c>
      <c r="BN329" s="323">
        <v>3</v>
      </c>
      <c r="BO329" s="323">
        <v>2</v>
      </c>
      <c r="BP329" s="323">
        <v>4</v>
      </c>
      <c r="BQ329" s="323">
        <v>8</v>
      </c>
      <c r="BR329" s="323">
        <v>4</v>
      </c>
      <c r="BS329" s="323">
        <v>7</v>
      </c>
      <c r="BT329" s="323">
        <v>4</v>
      </c>
      <c r="BU329" s="323">
        <v>42</v>
      </c>
      <c r="BV329" s="329" t="s">
        <v>934</v>
      </c>
      <c r="BW329" s="330">
        <v>37</v>
      </c>
      <c r="BX329" s="330">
        <v>4</v>
      </c>
      <c r="BY329" s="330">
        <v>6</v>
      </c>
      <c r="BZ329" s="330">
        <v>6</v>
      </c>
      <c r="CA329" s="330">
        <v>0</v>
      </c>
      <c r="CB329" s="330">
        <v>0</v>
      </c>
      <c r="CC329" s="330">
        <v>0</v>
      </c>
      <c r="CD329" s="330">
        <v>0</v>
      </c>
      <c r="CE329" s="328">
        <v>53</v>
      </c>
      <c r="CF329" s="322" t="s">
        <v>934</v>
      </c>
      <c r="CG329" s="323">
        <v>478</v>
      </c>
      <c r="CH329" s="323">
        <v>42</v>
      </c>
      <c r="CI329" s="323">
        <v>15</v>
      </c>
      <c r="CJ329" s="323">
        <v>15</v>
      </c>
      <c r="CK329" s="323">
        <v>0</v>
      </c>
      <c r="CL329" s="323">
        <v>3</v>
      </c>
      <c r="CM329" s="323">
        <v>3</v>
      </c>
      <c r="CN329" s="323">
        <v>0</v>
      </c>
      <c r="CO329" s="323">
        <v>556</v>
      </c>
      <c r="CP329" s="329" t="s">
        <v>934</v>
      </c>
      <c r="CQ329" s="330">
        <v>0</v>
      </c>
      <c r="CR329" s="330">
        <v>0</v>
      </c>
      <c r="CS329" s="330">
        <v>0</v>
      </c>
      <c r="CT329" s="330">
        <v>0</v>
      </c>
      <c r="CU329" s="330">
        <v>0</v>
      </c>
      <c r="CV329" s="330">
        <v>0</v>
      </c>
      <c r="CW329" s="330">
        <v>0</v>
      </c>
      <c r="CX329" s="330">
        <v>0</v>
      </c>
      <c r="CY329" s="328">
        <v>0</v>
      </c>
      <c r="CZ329" s="322" t="s">
        <v>934</v>
      </c>
      <c r="DA329" s="323">
        <v>0</v>
      </c>
      <c r="DB329" s="323">
        <v>0</v>
      </c>
      <c r="DC329" s="323">
        <v>0</v>
      </c>
      <c r="DD329" s="323">
        <v>0</v>
      </c>
      <c r="DE329" s="323">
        <v>0</v>
      </c>
      <c r="DF329" s="323">
        <v>0</v>
      </c>
      <c r="DG329" s="323">
        <v>0</v>
      </c>
      <c r="DH329" s="323">
        <v>0</v>
      </c>
      <c r="DI329" s="323">
        <v>0</v>
      </c>
      <c r="DJ329" s="337">
        <v>0</v>
      </c>
      <c r="DK329" s="644">
        <v>18245.8</v>
      </c>
      <c r="DL329" s="616">
        <v>19942</v>
      </c>
      <c r="DM329" s="616">
        <v>3735</v>
      </c>
      <c r="DN329" s="616">
        <v>2350</v>
      </c>
      <c r="DO329" s="616">
        <v>1879</v>
      </c>
      <c r="DP329" s="616">
        <v>557</v>
      </c>
      <c r="DQ329" s="616">
        <v>132</v>
      </c>
      <c r="DR329" s="616">
        <v>81</v>
      </c>
      <c r="DS329" s="617">
        <v>11</v>
      </c>
      <c r="DT329" s="607">
        <f aca="true" t="shared" si="5" ref="DT329:DT362">SUM(DL329:DS329)</f>
        <v>28687</v>
      </c>
      <c r="DU329" s="342"/>
      <c r="EC329" s="646"/>
      <c r="EF329" s="125"/>
      <c r="EG329" s="124"/>
    </row>
    <row r="330" spans="1:137" ht="15">
      <c r="A330" s="22">
        <v>322</v>
      </c>
      <c r="B330" s="23" t="s">
        <v>787</v>
      </c>
      <c r="C330" s="24" t="s">
        <v>788</v>
      </c>
      <c r="D330" s="613"/>
      <c r="E330" s="629">
        <v>25880</v>
      </c>
      <c r="F330" s="629">
        <v>17332</v>
      </c>
      <c r="G330" s="629">
        <v>17854</v>
      </c>
      <c r="H330" s="629">
        <v>10449</v>
      </c>
      <c r="I330" s="629">
        <v>6240</v>
      </c>
      <c r="J330" s="629">
        <v>4068</v>
      </c>
      <c r="K330" s="629">
        <v>2454</v>
      </c>
      <c r="L330" s="629">
        <v>173</v>
      </c>
      <c r="M330" s="627">
        <v>84450</v>
      </c>
      <c r="N330" s="322"/>
      <c r="O330" s="323">
        <v>831</v>
      </c>
      <c r="P330" s="323">
        <v>345</v>
      </c>
      <c r="Q330" s="323">
        <v>281</v>
      </c>
      <c r="R330" s="323">
        <v>140</v>
      </c>
      <c r="S330" s="323">
        <v>75</v>
      </c>
      <c r="T330" s="323">
        <v>49</v>
      </c>
      <c r="U330" s="323">
        <v>24</v>
      </c>
      <c r="V330" s="323">
        <v>6</v>
      </c>
      <c r="W330" s="323">
        <v>1751</v>
      </c>
      <c r="X330" s="329" t="s">
        <v>934</v>
      </c>
      <c r="Y330" s="330">
        <v>2</v>
      </c>
      <c r="Z330" s="330">
        <v>0</v>
      </c>
      <c r="AA330" s="330">
        <v>0</v>
      </c>
      <c r="AB330" s="330">
        <v>0</v>
      </c>
      <c r="AC330" s="330">
        <v>2</v>
      </c>
      <c r="AD330" s="330">
        <v>1</v>
      </c>
      <c r="AE330" s="330">
        <v>0</v>
      </c>
      <c r="AF330" s="330">
        <v>0</v>
      </c>
      <c r="AG330" s="328">
        <v>5</v>
      </c>
      <c r="AH330" s="329" t="s">
        <v>934</v>
      </c>
      <c r="AI330" s="184">
        <v>43</v>
      </c>
      <c r="AJ330" s="184">
        <v>83</v>
      </c>
      <c r="AK330" s="184">
        <v>106</v>
      </c>
      <c r="AL330" s="184">
        <v>55</v>
      </c>
      <c r="AM330" s="184">
        <v>47</v>
      </c>
      <c r="AN330" s="184">
        <v>28</v>
      </c>
      <c r="AO330" s="184">
        <v>18</v>
      </c>
      <c r="AP330" s="184">
        <v>18</v>
      </c>
      <c r="AQ330" s="336">
        <v>398</v>
      </c>
      <c r="AR330" s="323">
        <v>13</v>
      </c>
      <c r="AS330" s="323">
        <v>11199</v>
      </c>
      <c r="AT330" s="323">
        <v>5420</v>
      </c>
      <c r="AU330" s="323">
        <v>4512</v>
      </c>
      <c r="AV330" s="323">
        <v>2078</v>
      </c>
      <c r="AW330" s="323">
        <v>915</v>
      </c>
      <c r="AX330" s="323">
        <v>495</v>
      </c>
      <c r="AY330" s="323">
        <v>219</v>
      </c>
      <c r="AZ330" s="323">
        <v>8</v>
      </c>
      <c r="BA330" s="323">
        <v>24859</v>
      </c>
      <c r="BB330" s="331">
        <v>2</v>
      </c>
      <c r="BC330" s="330">
        <v>135</v>
      </c>
      <c r="BD330" s="330">
        <v>104</v>
      </c>
      <c r="BE330" s="330">
        <v>93</v>
      </c>
      <c r="BF330" s="330">
        <v>51</v>
      </c>
      <c r="BG330" s="330">
        <v>35</v>
      </c>
      <c r="BH330" s="330">
        <v>20</v>
      </c>
      <c r="BI330" s="330">
        <v>8</v>
      </c>
      <c r="BJ330" s="330">
        <v>0</v>
      </c>
      <c r="BK330" s="328">
        <v>448</v>
      </c>
      <c r="BL330" s="323">
        <v>0</v>
      </c>
      <c r="BM330" s="323">
        <v>5</v>
      </c>
      <c r="BN330" s="323">
        <v>6</v>
      </c>
      <c r="BO330" s="323">
        <v>1</v>
      </c>
      <c r="BP330" s="323">
        <v>6</v>
      </c>
      <c r="BQ330" s="323">
        <v>5</v>
      </c>
      <c r="BR330" s="323">
        <v>9</v>
      </c>
      <c r="BS330" s="323">
        <v>22</v>
      </c>
      <c r="BT330" s="323">
        <v>8</v>
      </c>
      <c r="BU330" s="323">
        <v>62</v>
      </c>
      <c r="BV330" s="329" t="s">
        <v>934</v>
      </c>
      <c r="BW330" s="330">
        <v>69</v>
      </c>
      <c r="BX330" s="330">
        <v>27</v>
      </c>
      <c r="BY330" s="330">
        <v>26</v>
      </c>
      <c r="BZ330" s="330">
        <v>13</v>
      </c>
      <c r="CA330" s="330">
        <v>8</v>
      </c>
      <c r="CB330" s="330">
        <v>4</v>
      </c>
      <c r="CC330" s="330">
        <v>6</v>
      </c>
      <c r="CD330" s="330">
        <v>1</v>
      </c>
      <c r="CE330" s="328">
        <v>154</v>
      </c>
      <c r="CF330" s="322" t="s">
        <v>934</v>
      </c>
      <c r="CG330" s="323">
        <v>601</v>
      </c>
      <c r="CH330" s="323">
        <v>345</v>
      </c>
      <c r="CI330" s="323">
        <v>312</v>
      </c>
      <c r="CJ330" s="323">
        <v>158</v>
      </c>
      <c r="CK330" s="323">
        <v>86</v>
      </c>
      <c r="CL330" s="323">
        <v>68</v>
      </c>
      <c r="CM330" s="323">
        <v>40</v>
      </c>
      <c r="CN330" s="323">
        <v>4</v>
      </c>
      <c r="CO330" s="323">
        <v>1614</v>
      </c>
      <c r="CP330" s="329" t="s">
        <v>934</v>
      </c>
      <c r="CQ330" s="330">
        <v>0</v>
      </c>
      <c r="CR330" s="330">
        <v>0</v>
      </c>
      <c r="CS330" s="330">
        <v>0</v>
      </c>
      <c r="CT330" s="330">
        <v>0</v>
      </c>
      <c r="CU330" s="330">
        <v>0</v>
      </c>
      <c r="CV330" s="330">
        <v>0</v>
      </c>
      <c r="CW330" s="330">
        <v>0</v>
      </c>
      <c r="CX330" s="330">
        <v>0</v>
      </c>
      <c r="CY330" s="328">
        <v>0</v>
      </c>
      <c r="CZ330" s="322" t="s">
        <v>934</v>
      </c>
      <c r="DA330" s="323">
        <v>0</v>
      </c>
      <c r="DB330" s="323">
        <v>0</v>
      </c>
      <c r="DC330" s="323">
        <v>0</v>
      </c>
      <c r="DD330" s="323">
        <v>0</v>
      </c>
      <c r="DE330" s="323">
        <v>0</v>
      </c>
      <c r="DF330" s="323">
        <v>0</v>
      </c>
      <c r="DG330" s="323">
        <v>0</v>
      </c>
      <c r="DH330" s="323">
        <v>0</v>
      </c>
      <c r="DI330" s="323">
        <v>0</v>
      </c>
      <c r="DJ330" s="337">
        <v>9</v>
      </c>
      <c r="DK330" s="644">
        <v>67615</v>
      </c>
      <c r="DL330" s="616">
        <v>25906</v>
      </c>
      <c r="DM330" s="616">
        <v>17760</v>
      </c>
      <c r="DN330" s="616">
        <v>18265</v>
      </c>
      <c r="DO330" s="616">
        <v>10709</v>
      </c>
      <c r="DP330" s="616">
        <v>6392</v>
      </c>
      <c r="DQ330" s="616">
        <v>4172</v>
      </c>
      <c r="DR330" s="616">
        <v>2485</v>
      </c>
      <c r="DS330" s="617">
        <v>180</v>
      </c>
      <c r="DT330" s="607">
        <f t="shared" si="5"/>
        <v>85869</v>
      </c>
      <c r="DU330" s="342"/>
      <c r="EC330" s="646"/>
      <c r="EF330" s="130"/>
      <c r="EG330" s="124"/>
    </row>
    <row r="331" spans="1:137" ht="15">
      <c r="A331" s="22">
        <v>323</v>
      </c>
      <c r="B331" s="23" t="s">
        <v>789</v>
      </c>
      <c r="C331" s="24" t="s">
        <v>790</v>
      </c>
      <c r="D331" s="613"/>
      <c r="E331" s="634">
        <v>4529</v>
      </c>
      <c r="F331" s="634">
        <v>10881</v>
      </c>
      <c r="G331" s="634">
        <v>15747</v>
      </c>
      <c r="H331" s="634">
        <v>11815</v>
      </c>
      <c r="I331" s="634">
        <v>6344</v>
      </c>
      <c r="J331" s="634">
        <v>4709</v>
      </c>
      <c r="K331" s="634">
        <v>3674</v>
      </c>
      <c r="L331" s="634">
        <v>404</v>
      </c>
      <c r="M331" s="635">
        <v>58103</v>
      </c>
      <c r="N331" s="322"/>
      <c r="O331" s="323">
        <v>249</v>
      </c>
      <c r="P331" s="323">
        <v>666</v>
      </c>
      <c r="Q331" s="323">
        <v>581</v>
      </c>
      <c r="R331" s="323">
        <v>294</v>
      </c>
      <c r="S331" s="323">
        <v>126</v>
      </c>
      <c r="T331" s="323">
        <v>77</v>
      </c>
      <c r="U331" s="323">
        <v>60</v>
      </c>
      <c r="V331" s="323">
        <v>8</v>
      </c>
      <c r="W331" s="323">
        <v>2061</v>
      </c>
      <c r="X331" s="329" t="s">
        <v>934</v>
      </c>
      <c r="Y331" s="330">
        <v>0</v>
      </c>
      <c r="Z331" s="330">
        <v>0</v>
      </c>
      <c r="AA331" s="330">
        <v>0</v>
      </c>
      <c r="AB331" s="330">
        <v>0</v>
      </c>
      <c r="AC331" s="330">
        <v>0</v>
      </c>
      <c r="AD331" s="330">
        <v>0</v>
      </c>
      <c r="AE331" s="330">
        <v>0</v>
      </c>
      <c r="AF331" s="330">
        <v>0</v>
      </c>
      <c r="AG331" s="328">
        <v>0</v>
      </c>
      <c r="AH331" s="329" t="s">
        <v>934</v>
      </c>
      <c r="AI331" s="184">
        <v>12</v>
      </c>
      <c r="AJ331" s="184">
        <v>48</v>
      </c>
      <c r="AK331" s="184">
        <v>92</v>
      </c>
      <c r="AL331" s="184">
        <v>81</v>
      </c>
      <c r="AM331" s="184">
        <v>51</v>
      </c>
      <c r="AN331" s="184">
        <v>50</v>
      </c>
      <c r="AO331" s="184">
        <v>41</v>
      </c>
      <c r="AP331" s="184">
        <v>23</v>
      </c>
      <c r="AQ331" s="336">
        <v>398</v>
      </c>
      <c r="AR331" s="323">
        <v>7</v>
      </c>
      <c r="AS331" s="323">
        <v>2671</v>
      </c>
      <c r="AT331" s="323">
        <v>4998</v>
      </c>
      <c r="AU331" s="323">
        <v>5520</v>
      </c>
      <c r="AV331" s="323">
        <v>3231</v>
      </c>
      <c r="AW331" s="323">
        <v>1312</v>
      </c>
      <c r="AX331" s="323">
        <v>720</v>
      </c>
      <c r="AY331" s="323">
        <v>462</v>
      </c>
      <c r="AZ331" s="323">
        <v>55</v>
      </c>
      <c r="BA331" s="323">
        <v>18976</v>
      </c>
      <c r="BB331" s="331">
        <v>1</v>
      </c>
      <c r="BC331" s="330">
        <v>65</v>
      </c>
      <c r="BD331" s="330">
        <v>124</v>
      </c>
      <c r="BE331" s="330">
        <v>168</v>
      </c>
      <c r="BF331" s="330">
        <v>102</v>
      </c>
      <c r="BG331" s="330">
        <v>33</v>
      </c>
      <c r="BH331" s="330">
        <v>32</v>
      </c>
      <c r="BI331" s="330">
        <v>15</v>
      </c>
      <c r="BJ331" s="330">
        <v>1</v>
      </c>
      <c r="BK331" s="328">
        <v>541</v>
      </c>
      <c r="BL331" s="323">
        <v>1</v>
      </c>
      <c r="BM331" s="323">
        <v>22</v>
      </c>
      <c r="BN331" s="323">
        <v>24</v>
      </c>
      <c r="BO331" s="323">
        <v>14</v>
      </c>
      <c r="BP331" s="323">
        <v>8</v>
      </c>
      <c r="BQ331" s="323">
        <v>10</v>
      </c>
      <c r="BR331" s="323">
        <v>10</v>
      </c>
      <c r="BS331" s="323">
        <v>22</v>
      </c>
      <c r="BT331" s="323">
        <v>3</v>
      </c>
      <c r="BU331" s="323">
        <v>114</v>
      </c>
      <c r="BV331" s="329" t="s">
        <v>934</v>
      </c>
      <c r="BW331" s="330">
        <v>92</v>
      </c>
      <c r="BX331" s="330">
        <v>138</v>
      </c>
      <c r="BY331" s="330">
        <v>194</v>
      </c>
      <c r="BZ331" s="330">
        <v>107</v>
      </c>
      <c r="CA331" s="330">
        <v>47</v>
      </c>
      <c r="CB331" s="330">
        <v>32</v>
      </c>
      <c r="CC331" s="330">
        <v>20</v>
      </c>
      <c r="CD331" s="330">
        <v>6</v>
      </c>
      <c r="CE331" s="328">
        <v>636</v>
      </c>
      <c r="CF331" s="322" t="s">
        <v>934</v>
      </c>
      <c r="CG331" s="323">
        <v>116</v>
      </c>
      <c r="CH331" s="323">
        <v>189</v>
      </c>
      <c r="CI331" s="323">
        <v>155</v>
      </c>
      <c r="CJ331" s="323">
        <v>115</v>
      </c>
      <c r="CK331" s="323">
        <v>43</v>
      </c>
      <c r="CL331" s="323">
        <v>20</v>
      </c>
      <c r="CM331" s="323">
        <v>21</v>
      </c>
      <c r="CN331" s="323">
        <v>10</v>
      </c>
      <c r="CO331" s="323">
        <v>669</v>
      </c>
      <c r="CP331" s="329" t="s">
        <v>934</v>
      </c>
      <c r="CQ331" s="330">
        <v>0</v>
      </c>
      <c r="CR331" s="330">
        <v>0</v>
      </c>
      <c r="CS331" s="330">
        <v>0</v>
      </c>
      <c r="CT331" s="330">
        <v>0</v>
      </c>
      <c r="CU331" s="330">
        <v>0</v>
      </c>
      <c r="CV331" s="330">
        <v>0</v>
      </c>
      <c r="CW331" s="330">
        <v>0</v>
      </c>
      <c r="CX331" s="330">
        <v>0</v>
      </c>
      <c r="CY331" s="328">
        <v>0</v>
      </c>
      <c r="CZ331" s="322" t="s">
        <v>934</v>
      </c>
      <c r="DA331" s="323">
        <v>0</v>
      </c>
      <c r="DB331" s="323">
        <v>0</v>
      </c>
      <c r="DC331" s="323">
        <v>0</v>
      </c>
      <c r="DD331" s="323">
        <v>0</v>
      </c>
      <c r="DE331" s="323">
        <v>0</v>
      </c>
      <c r="DF331" s="323">
        <v>0</v>
      </c>
      <c r="DG331" s="323">
        <v>0</v>
      </c>
      <c r="DH331" s="323">
        <v>0</v>
      </c>
      <c r="DI331" s="323">
        <v>0</v>
      </c>
      <c r="DJ331" s="337">
        <v>0</v>
      </c>
      <c r="DK331" s="644">
        <v>51714.3</v>
      </c>
      <c r="DL331" s="618">
        <v>4558</v>
      </c>
      <c r="DM331" s="618">
        <v>10977</v>
      </c>
      <c r="DN331" s="618">
        <v>16002</v>
      </c>
      <c r="DO331" s="618">
        <v>11936</v>
      </c>
      <c r="DP331" s="618">
        <v>6460</v>
      </c>
      <c r="DQ331" s="618">
        <v>4736</v>
      </c>
      <c r="DR331" s="618">
        <v>3702</v>
      </c>
      <c r="DS331" s="619">
        <v>400</v>
      </c>
      <c r="DT331" s="609">
        <f t="shared" si="5"/>
        <v>58771</v>
      </c>
      <c r="DU331" s="342"/>
      <c r="EC331" s="646"/>
      <c r="EF331" s="129"/>
      <c r="EG331" s="124"/>
    </row>
    <row r="332" spans="1:137" ht="15">
      <c r="A332" s="22">
        <v>324</v>
      </c>
      <c r="B332" s="23" t="s">
        <v>791</v>
      </c>
      <c r="C332" s="24" t="s">
        <v>792</v>
      </c>
      <c r="D332" s="613"/>
      <c r="E332" s="632">
        <v>295</v>
      </c>
      <c r="F332" s="632">
        <v>3582</v>
      </c>
      <c r="G332" s="632">
        <v>12496</v>
      </c>
      <c r="H332" s="632">
        <v>11298</v>
      </c>
      <c r="I332" s="632">
        <v>3364</v>
      </c>
      <c r="J332" s="632">
        <v>2034</v>
      </c>
      <c r="K332" s="632">
        <v>1778</v>
      </c>
      <c r="L332" s="632">
        <v>72</v>
      </c>
      <c r="M332" s="627">
        <v>34919</v>
      </c>
      <c r="N332" s="322"/>
      <c r="O332" s="323">
        <v>30</v>
      </c>
      <c r="P332" s="323">
        <v>139</v>
      </c>
      <c r="Q332" s="323">
        <v>290</v>
      </c>
      <c r="R332" s="323">
        <v>173</v>
      </c>
      <c r="S332" s="323">
        <v>34</v>
      </c>
      <c r="T332" s="323">
        <v>38</v>
      </c>
      <c r="U332" s="323">
        <v>24</v>
      </c>
      <c r="V332" s="323">
        <v>0</v>
      </c>
      <c r="W332" s="323">
        <v>728</v>
      </c>
      <c r="X332" s="329" t="s">
        <v>934</v>
      </c>
      <c r="Y332" s="330">
        <v>0</v>
      </c>
      <c r="Z332" s="330">
        <v>0</v>
      </c>
      <c r="AA332" s="330">
        <v>0</v>
      </c>
      <c r="AB332" s="330">
        <v>0</v>
      </c>
      <c r="AC332" s="330">
        <v>0</v>
      </c>
      <c r="AD332" s="330">
        <v>0</v>
      </c>
      <c r="AE332" s="330">
        <v>0</v>
      </c>
      <c r="AF332" s="330">
        <v>0</v>
      </c>
      <c r="AG332" s="328">
        <v>0</v>
      </c>
      <c r="AH332" s="329" t="s">
        <v>934</v>
      </c>
      <c r="AI332" s="184">
        <v>1</v>
      </c>
      <c r="AJ332" s="184">
        <v>11</v>
      </c>
      <c r="AK332" s="184">
        <v>53</v>
      </c>
      <c r="AL332" s="184">
        <v>65</v>
      </c>
      <c r="AM332" s="184">
        <v>34</v>
      </c>
      <c r="AN332" s="184">
        <v>29</v>
      </c>
      <c r="AO332" s="184">
        <v>13</v>
      </c>
      <c r="AP332" s="184">
        <v>3</v>
      </c>
      <c r="AQ332" s="336">
        <v>209</v>
      </c>
      <c r="AR332" s="323">
        <v>0</v>
      </c>
      <c r="AS332" s="323">
        <v>157</v>
      </c>
      <c r="AT332" s="323">
        <v>1976</v>
      </c>
      <c r="AU332" s="323">
        <v>4671</v>
      </c>
      <c r="AV332" s="323">
        <v>3050</v>
      </c>
      <c r="AW332" s="323">
        <v>700</v>
      </c>
      <c r="AX332" s="323">
        <v>369</v>
      </c>
      <c r="AY332" s="323">
        <v>238</v>
      </c>
      <c r="AZ332" s="323">
        <v>2</v>
      </c>
      <c r="BA332" s="323">
        <v>11163</v>
      </c>
      <c r="BB332" s="331">
        <v>0</v>
      </c>
      <c r="BC332" s="330">
        <v>0</v>
      </c>
      <c r="BD332" s="330">
        <v>16</v>
      </c>
      <c r="BE332" s="330">
        <v>76</v>
      </c>
      <c r="BF332" s="330">
        <v>77</v>
      </c>
      <c r="BG332" s="330">
        <v>18</v>
      </c>
      <c r="BH332" s="330">
        <v>15</v>
      </c>
      <c r="BI332" s="330">
        <v>11</v>
      </c>
      <c r="BJ332" s="330">
        <v>2</v>
      </c>
      <c r="BK332" s="328">
        <v>215</v>
      </c>
      <c r="BL332" s="323">
        <v>0</v>
      </c>
      <c r="BM332" s="323">
        <v>0</v>
      </c>
      <c r="BN332" s="323">
        <v>2</v>
      </c>
      <c r="BO332" s="323">
        <v>5</v>
      </c>
      <c r="BP332" s="323">
        <v>6</v>
      </c>
      <c r="BQ332" s="323">
        <v>8</v>
      </c>
      <c r="BR332" s="323">
        <v>2</v>
      </c>
      <c r="BS332" s="323">
        <v>9</v>
      </c>
      <c r="BT332" s="323">
        <v>13</v>
      </c>
      <c r="BU332" s="323">
        <v>45</v>
      </c>
      <c r="BV332" s="329" t="s">
        <v>934</v>
      </c>
      <c r="BW332" s="330">
        <v>2</v>
      </c>
      <c r="BX332" s="330">
        <v>2</v>
      </c>
      <c r="BY332" s="330">
        <v>10</v>
      </c>
      <c r="BZ332" s="330">
        <v>16</v>
      </c>
      <c r="CA332" s="330">
        <v>3</v>
      </c>
      <c r="CB332" s="330">
        <v>1</v>
      </c>
      <c r="CC332" s="330">
        <v>3</v>
      </c>
      <c r="CD332" s="330">
        <v>0</v>
      </c>
      <c r="CE332" s="328">
        <v>37</v>
      </c>
      <c r="CF332" s="322" t="s">
        <v>934</v>
      </c>
      <c r="CG332" s="323">
        <v>12</v>
      </c>
      <c r="CH332" s="323">
        <v>72</v>
      </c>
      <c r="CI332" s="323">
        <v>145</v>
      </c>
      <c r="CJ332" s="323">
        <v>97</v>
      </c>
      <c r="CK332" s="323">
        <v>13</v>
      </c>
      <c r="CL332" s="323">
        <v>10</v>
      </c>
      <c r="CM332" s="323">
        <v>10</v>
      </c>
      <c r="CN332" s="323">
        <v>0</v>
      </c>
      <c r="CO332" s="323">
        <v>359</v>
      </c>
      <c r="CP332" s="329" t="s">
        <v>934</v>
      </c>
      <c r="CQ332" s="330">
        <v>6</v>
      </c>
      <c r="CR332" s="330">
        <v>50</v>
      </c>
      <c r="CS332" s="330">
        <v>56</v>
      </c>
      <c r="CT332" s="330">
        <v>44</v>
      </c>
      <c r="CU332" s="330">
        <v>10</v>
      </c>
      <c r="CV332" s="330">
        <v>8</v>
      </c>
      <c r="CW332" s="330">
        <v>5</v>
      </c>
      <c r="CX332" s="330">
        <v>1</v>
      </c>
      <c r="CY332" s="328">
        <v>180</v>
      </c>
      <c r="CZ332" s="322" t="s">
        <v>934</v>
      </c>
      <c r="DA332" s="323">
        <v>0</v>
      </c>
      <c r="DB332" s="323">
        <v>0</v>
      </c>
      <c r="DC332" s="323">
        <v>0</v>
      </c>
      <c r="DD332" s="323">
        <v>0</v>
      </c>
      <c r="DE332" s="323">
        <v>0</v>
      </c>
      <c r="DF332" s="323">
        <v>0</v>
      </c>
      <c r="DG332" s="323">
        <v>0</v>
      </c>
      <c r="DH332" s="323">
        <v>0</v>
      </c>
      <c r="DI332" s="323">
        <v>0</v>
      </c>
      <c r="DJ332" s="337">
        <v>0</v>
      </c>
      <c r="DK332" s="644">
        <v>31883.3</v>
      </c>
      <c r="DL332" s="616">
        <v>293</v>
      </c>
      <c r="DM332" s="616">
        <v>3628</v>
      </c>
      <c r="DN332" s="616">
        <v>12554</v>
      </c>
      <c r="DO332" s="616">
        <v>11454</v>
      </c>
      <c r="DP332" s="616">
        <v>3360</v>
      </c>
      <c r="DQ332" s="616">
        <v>2053</v>
      </c>
      <c r="DR332" s="616">
        <v>1772</v>
      </c>
      <c r="DS332" s="617">
        <v>70</v>
      </c>
      <c r="DT332" s="607">
        <f t="shared" si="5"/>
        <v>35184</v>
      </c>
      <c r="DU332" s="342"/>
      <c r="EC332" s="646"/>
      <c r="EF332" s="125"/>
      <c r="EG332" s="124"/>
    </row>
    <row r="333" spans="1:137" ht="15">
      <c r="A333" s="22">
        <v>325</v>
      </c>
      <c r="B333" s="23" t="s">
        <v>793</v>
      </c>
      <c r="C333" s="24" t="s">
        <v>794</v>
      </c>
      <c r="D333" s="613"/>
      <c r="E333" s="628">
        <v>18235</v>
      </c>
      <c r="F333" s="628">
        <v>14907</v>
      </c>
      <c r="G333" s="628">
        <v>10202</v>
      </c>
      <c r="H333" s="628">
        <v>6086</v>
      </c>
      <c r="I333" s="628">
        <v>2774</v>
      </c>
      <c r="J333" s="628">
        <v>923</v>
      </c>
      <c r="K333" s="628">
        <v>560</v>
      </c>
      <c r="L333" s="628">
        <v>38</v>
      </c>
      <c r="M333" s="627">
        <v>53725</v>
      </c>
      <c r="N333" s="322"/>
      <c r="O333" s="323">
        <v>574</v>
      </c>
      <c r="P333" s="323">
        <v>275</v>
      </c>
      <c r="Q333" s="323">
        <v>172</v>
      </c>
      <c r="R333" s="323">
        <v>97</v>
      </c>
      <c r="S333" s="323">
        <v>28</v>
      </c>
      <c r="T333" s="323">
        <v>21</v>
      </c>
      <c r="U333" s="323">
        <v>13</v>
      </c>
      <c r="V333" s="323">
        <v>1</v>
      </c>
      <c r="W333" s="323">
        <v>1181</v>
      </c>
      <c r="X333" s="329" t="s">
        <v>934</v>
      </c>
      <c r="Y333" s="330">
        <v>0</v>
      </c>
      <c r="Z333" s="330">
        <v>0</v>
      </c>
      <c r="AA333" s="330">
        <v>0</v>
      </c>
      <c r="AB333" s="330">
        <v>0</v>
      </c>
      <c r="AC333" s="330">
        <v>0</v>
      </c>
      <c r="AD333" s="330">
        <v>0</v>
      </c>
      <c r="AE333" s="330">
        <v>0</v>
      </c>
      <c r="AF333" s="330">
        <v>0</v>
      </c>
      <c r="AG333" s="328">
        <v>0</v>
      </c>
      <c r="AH333" s="329" t="s">
        <v>934</v>
      </c>
      <c r="AI333" s="184">
        <v>70</v>
      </c>
      <c r="AJ333" s="184">
        <v>143</v>
      </c>
      <c r="AK333" s="184">
        <v>88</v>
      </c>
      <c r="AL333" s="184">
        <v>70</v>
      </c>
      <c r="AM333" s="184">
        <v>25</v>
      </c>
      <c r="AN333" s="184">
        <v>11</v>
      </c>
      <c r="AO333" s="184">
        <v>16</v>
      </c>
      <c r="AP333" s="184">
        <v>7</v>
      </c>
      <c r="AQ333" s="336">
        <v>430</v>
      </c>
      <c r="AR333" s="323">
        <v>20</v>
      </c>
      <c r="AS333" s="323">
        <v>8062</v>
      </c>
      <c r="AT333" s="323">
        <v>4653</v>
      </c>
      <c r="AU333" s="323">
        <v>2644</v>
      </c>
      <c r="AV333" s="323">
        <v>1164</v>
      </c>
      <c r="AW333" s="323">
        <v>454</v>
      </c>
      <c r="AX333" s="323">
        <v>135</v>
      </c>
      <c r="AY333" s="323">
        <v>83</v>
      </c>
      <c r="AZ333" s="323">
        <v>4</v>
      </c>
      <c r="BA333" s="323">
        <v>17219</v>
      </c>
      <c r="BB333" s="331">
        <v>0</v>
      </c>
      <c r="BC333" s="330">
        <v>105</v>
      </c>
      <c r="BD333" s="330">
        <v>83</v>
      </c>
      <c r="BE333" s="330">
        <v>63</v>
      </c>
      <c r="BF333" s="330">
        <v>42</v>
      </c>
      <c r="BG333" s="330">
        <v>17</v>
      </c>
      <c r="BH333" s="330">
        <v>5</v>
      </c>
      <c r="BI333" s="330">
        <v>0</v>
      </c>
      <c r="BJ333" s="330">
        <v>0</v>
      </c>
      <c r="BK333" s="328">
        <v>315</v>
      </c>
      <c r="BL333" s="323">
        <v>0</v>
      </c>
      <c r="BM333" s="323">
        <v>6</v>
      </c>
      <c r="BN333" s="323">
        <v>2</v>
      </c>
      <c r="BO333" s="323">
        <v>5</v>
      </c>
      <c r="BP333" s="323">
        <v>6</v>
      </c>
      <c r="BQ333" s="323">
        <v>5</v>
      </c>
      <c r="BR333" s="323">
        <v>21</v>
      </c>
      <c r="BS333" s="323">
        <v>25</v>
      </c>
      <c r="BT333" s="323">
        <v>2</v>
      </c>
      <c r="BU333" s="323">
        <v>72</v>
      </c>
      <c r="BV333" s="329" t="s">
        <v>934</v>
      </c>
      <c r="BW333" s="330">
        <v>432</v>
      </c>
      <c r="BX333" s="330">
        <v>252</v>
      </c>
      <c r="BY333" s="330">
        <v>212</v>
      </c>
      <c r="BZ333" s="330">
        <v>244</v>
      </c>
      <c r="CA333" s="330">
        <v>119</v>
      </c>
      <c r="CB333" s="330">
        <v>45</v>
      </c>
      <c r="CC333" s="330">
        <v>30</v>
      </c>
      <c r="CD333" s="330">
        <v>2</v>
      </c>
      <c r="CE333" s="328">
        <v>1336</v>
      </c>
      <c r="CF333" s="322" t="s">
        <v>934</v>
      </c>
      <c r="CG333" s="323">
        <v>0</v>
      </c>
      <c r="CH333" s="323">
        <v>0</v>
      </c>
      <c r="CI333" s="323">
        <v>0</v>
      </c>
      <c r="CJ333" s="323">
        <v>0</v>
      </c>
      <c r="CK333" s="323">
        <v>0</v>
      </c>
      <c r="CL333" s="323">
        <v>0</v>
      </c>
      <c r="CM333" s="323">
        <v>0</v>
      </c>
      <c r="CN333" s="323">
        <v>0</v>
      </c>
      <c r="CO333" s="323">
        <v>0</v>
      </c>
      <c r="CP333" s="329" t="s">
        <v>934</v>
      </c>
      <c r="CQ333" s="330">
        <v>456</v>
      </c>
      <c r="CR333" s="330">
        <v>229</v>
      </c>
      <c r="CS333" s="330">
        <v>131</v>
      </c>
      <c r="CT333" s="330">
        <v>56</v>
      </c>
      <c r="CU333" s="330">
        <v>26</v>
      </c>
      <c r="CV333" s="330">
        <v>16</v>
      </c>
      <c r="CW333" s="330">
        <v>12</v>
      </c>
      <c r="CX333" s="330">
        <v>1</v>
      </c>
      <c r="CY333" s="328">
        <v>927</v>
      </c>
      <c r="CZ333" s="322" t="s">
        <v>934</v>
      </c>
      <c r="DA333" s="323">
        <v>0</v>
      </c>
      <c r="DB333" s="323">
        <v>0</v>
      </c>
      <c r="DC333" s="323">
        <v>0</v>
      </c>
      <c r="DD333" s="323">
        <v>0</v>
      </c>
      <c r="DE333" s="323">
        <v>0</v>
      </c>
      <c r="DF333" s="323">
        <v>0</v>
      </c>
      <c r="DG333" s="323">
        <v>0</v>
      </c>
      <c r="DH333" s="323">
        <v>0</v>
      </c>
      <c r="DI333" s="323">
        <v>0</v>
      </c>
      <c r="DJ333" s="337">
        <v>0</v>
      </c>
      <c r="DK333" s="644">
        <v>39590.3</v>
      </c>
      <c r="DL333" s="614">
        <v>18302</v>
      </c>
      <c r="DM333" s="614">
        <v>14944</v>
      </c>
      <c r="DN333" s="614">
        <v>10265</v>
      </c>
      <c r="DO333" s="614">
        <v>6162</v>
      </c>
      <c r="DP333" s="614">
        <v>2827</v>
      </c>
      <c r="DQ333" s="614">
        <v>931</v>
      </c>
      <c r="DR333" s="614">
        <v>568</v>
      </c>
      <c r="DS333" s="615">
        <v>37</v>
      </c>
      <c r="DT333" s="607">
        <f t="shared" si="5"/>
        <v>54036</v>
      </c>
      <c r="DU333" s="342"/>
      <c r="EC333" s="646"/>
      <c r="EF333" s="126"/>
      <c r="EG333" s="124"/>
    </row>
    <row r="334" spans="1:137" ht="15">
      <c r="A334" s="22">
        <v>326</v>
      </c>
      <c r="B334" s="23" t="s">
        <v>795</v>
      </c>
      <c r="C334" s="24" t="s">
        <v>796</v>
      </c>
      <c r="D334" s="613"/>
      <c r="E334" s="628">
        <v>844</v>
      </c>
      <c r="F334" s="628">
        <v>3086</v>
      </c>
      <c r="G334" s="628">
        <v>8981</v>
      </c>
      <c r="H334" s="628">
        <v>11842</v>
      </c>
      <c r="I334" s="628">
        <v>9114</v>
      </c>
      <c r="J334" s="628">
        <v>6513</v>
      </c>
      <c r="K334" s="628">
        <v>7827</v>
      </c>
      <c r="L334" s="628">
        <v>1818</v>
      </c>
      <c r="M334" s="627">
        <v>50025</v>
      </c>
      <c r="N334" s="322"/>
      <c r="O334" s="323">
        <v>96</v>
      </c>
      <c r="P334" s="323">
        <v>226</v>
      </c>
      <c r="Q334" s="323">
        <v>373</v>
      </c>
      <c r="R334" s="323">
        <v>324</v>
      </c>
      <c r="S334" s="323">
        <v>191</v>
      </c>
      <c r="T334" s="323">
        <v>128</v>
      </c>
      <c r="U334" s="323">
        <v>116</v>
      </c>
      <c r="V334" s="323">
        <v>43</v>
      </c>
      <c r="W334" s="323">
        <v>1497</v>
      </c>
      <c r="X334" s="329" t="s">
        <v>934</v>
      </c>
      <c r="Y334" s="330">
        <v>0</v>
      </c>
      <c r="Z334" s="330">
        <v>0</v>
      </c>
      <c r="AA334" s="330">
        <v>0</v>
      </c>
      <c r="AB334" s="330">
        <v>0</v>
      </c>
      <c r="AC334" s="330">
        <v>0</v>
      </c>
      <c r="AD334" s="330">
        <v>0</v>
      </c>
      <c r="AE334" s="330">
        <v>0</v>
      </c>
      <c r="AF334" s="330">
        <v>0</v>
      </c>
      <c r="AG334" s="328">
        <v>0</v>
      </c>
      <c r="AH334" s="329" t="s">
        <v>934</v>
      </c>
      <c r="AI334" s="184">
        <v>0</v>
      </c>
      <c r="AJ334" s="184">
        <v>10</v>
      </c>
      <c r="AK334" s="184">
        <v>31</v>
      </c>
      <c r="AL334" s="184">
        <v>59</v>
      </c>
      <c r="AM334" s="184">
        <v>69</v>
      </c>
      <c r="AN334" s="184">
        <v>46</v>
      </c>
      <c r="AO334" s="184">
        <v>55</v>
      </c>
      <c r="AP334" s="184">
        <v>32</v>
      </c>
      <c r="AQ334" s="336">
        <v>302</v>
      </c>
      <c r="AR334" s="323">
        <v>0</v>
      </c>
      <c r="AS334" s="323">
        <v>391</v>
      </c>
      <c r="AT334" s="323">
        <v>1835</v>
      </c>
      <c r="AU334" s="323">
        <v>4004</v>
      </c>
      <c r="AV334" s="323">
        <v>3640</v>
      </c>
      <c r="AW334" s="323">
        <v>2197</v>
      </c>
      <c r="AX334" s="323">
        <v>1288</v>
      </c>
      <c r="AY334" s="323">
        <v>1101</v>
      </c>
      <c r="AZ334" s="323">
        <v>142</v>
      </c>
      <c r="BA334" s="323">
        <v>14598</v>
      </c>
      <c r="BB334" s="331">
        <v>0</v>
      </c>
      <c r="BC334" s="330">
        <v>5</v>
      </c>
      <c r="BD334" s="330">
        <v>22</v>
      </c>
      <c r="BE334" s="330">
        <v>79</v>
      </c>
      <c r="BF334" s="330">
        <v>123</v>
      </c>
      <c r="BG334" s="330">
        <v>87</v>
      </c>
      <c r="BH334" s="330">
        <v>61</v>
      </c>
      <c r="BI334" s="330">
        <v>60</v>
      </c>
      <c r="BJ334" s="330">
        <v>17</v>
      </c>
      <c r="BK334" s="328">
        <v>454</v>
      </c>
      <c r="BL334" s="323">
        <v>0</v>
      </c>
      <c r="BM334" s="323">
        <v>0</v>
      </c>
      <c r="BN334" s="323">
        <v>1</v>
      </c>
      <c r="BO334" s="323">
        <v>2</v>
      </c>
      <c r="BP334" s="323">
        <v>12</v>
      </c>
      <c r="BQ334" s="323">
        <v>11</v>
      </c>
      <c r="BR334" s="323">
        <v>10</v>
      </c>
      <c r="BS334" s="323">
        <v>26</v>
      </c>
      <c r="BT334" s="323">
        <v>17</v>
      </c>
      <c r="BU334" s="323">
        <v>79</v>
      </c>
      <c r="BV334" s="329" t="s">
        <v>934</v>
      </c>
      <c r="BW334" s="330">
        <v>30</v>
      </c>
      <c r="BX334" s="330">
        <v>15</v>
      </c>
      <c r="BY334" s="330">
        <v>70</v>
      </c>
      <c r="BZ334" s="330">
        <v>73</v>
      </c>
      <c r="CA334" s="330">
        <v>57</v>
      </c>
      <c r="CB334" s="330">
        <v>43</v>
      </c>
      <c r="CC334" s="330">
        <v>74</v>
      </c>
      <c r="CD334" s="330">
        <v>35</v>
      </c>
      <c r="CE334" s="328">
        <v>397</v>
      </c>
      <c r="CF334" s="322" t="s">
        <v>934</v>
      </c>
      <c r="CG334" s="323">
        <v>0</v>
      </c>
      <c r="CH334" s="323">
        <v>0</v>
      </c>
      <c r="CI334" s="323">
        <v>0</v>
      </c>
      <c r="CJ334" s="323">
        <v>0</v>
      </c>
      <c r="CK334" s="323">
        <v>0</v>
      </c>
      <c r="CL334" s="323">
        <v>0</v>
      </c>
      <c r="CM334" s="323">
        <v>0</v>
      </c>
      <c r="CN334" s="323">
        <v>0</v>
      </c>
      <c r="CO334" s="323">
        <v>0</v>
      </c>
      <c r="CP334" s="329" t="s">
        <v>934</v>
      </c>
      <c r="CQ334" s="330">
        <v>62</v>
      </c>
      <c r="CR334" s="330">
        <v>80</v>
      </c>
      <c r="CS334" s="330">
        <v>143</v>
      </c>
      <c r="CT334" s="330">
        <v>142</v>
      </c>
      <c r="CU334" s="330">
        <v>86</v>
      </c>
      <c r="CV334" s="330">
        <v>54</v>
      </c>
      <c r="CW334" s="330">
        <v>52</v>
      </c>
      <c r="CX334" s="330">
        <v>26</v>
      </c>
      <c r="CY334" s="328">
        <v>645</v>
      </c>
      <c r="CZ334" s="322" t="s">
        <v>934</v>
      </c>
      <c r="DA334" s="323">
        <v>0</v>
      </c>
      <c r="DB334" s="323">
        <v>0</v>
      </c>
      <c r="DC334" s="323">
        <v>0</v>
      </c>
      <c r="DD334" s="323">
        <v>0</v>
      </c>
      <c r="DE334" s="323">
        <v>0</v>
      </c>
      <c r="DF334" s="323">
        <v>0</v>
      </c>
      <c r="DG334" s="323">
        <v>0</v>
      </c>
      <c r="DH334" s="323">
        <v>0</v>
      </c>
      <c r="DI334" s="323">
        <v>0</v>
      </c>
      <c r="DJ334" s="337">
        <v>0</v>
      </c>
      <c r="DK334" s="644">
        <v>54034.2</v>
      </c>
      <c r="DL334" s="614">
        <v>849</v>
      </c>
      <c r="DM334" s="614">
        <v>3139</v>
      </c>
      <c r="DN334" s="614">
        <v>9134</v>
      </c>
      <c r="DO334" s="614">
        <v>11900</v>
      </c>
      <c r="DP334" s="614">
        <v>9089</v>
      </c>
      <c r="DQ334" s="614">
        <v>6553</v>
      </c>
      <c r="DR334" s="614">
        <v>7816</v>
      </c>
      <c r="DS334" s="615">
        <v>1836</v>
      </c>
      <c r="DT334" s="607">
        <f t="shared" si="5"/>
        <v>50316</v>
      </c>
      <c r="DU334" s="342"/>
      <c r="EC334" s="646"/>
      <c r="EF334" s="126"/>
      <c r="EG334" s="124"/>
    </row>
    <row r="335" spans="1:137" ht="15">
      <c r="A335" s="22">
        <v>327</v>
      </c>
      <c r="B335" s="23" t="s">
        <v>797</v>
      </c>
      <c r="C335" s="24" t="s">
        <v>798</v>
      </c>
      <c r="D335" s="613"/>
      <c r="E335" s="626">
        <v>3763</v>
      </c>
      <c r="F335" s="626">
        <v>6939</v>
      </c>
      <c r="G335" s="626">
        <v>15315</v>
      </c>
      <c r="H335" s="626">
        <v>12821</v>
      </c>
      <c r="I335" s="626">
        <v>9991</v>
      </c>
      <c r="J335" s="626">
        <v>7039</v>
      </c>
      <c r="K335" s="626">
        <v>6191</v>
      </c>
      <c r="L335" s="626">
        <v>797</v>
      </c>
      <c r="M335" s="627">
        <v>62856</v>
      </c>
      <c r="N335" s="322"/>
      <c r="O335" s="323">
        <v>279</v>
      </c>
      <c r="P335" s="323">
        <v>219</v>
      </c>
      <c r="Q335" s="323">
        <v>307</v>
      </c>
      <c r="R335" s="323">
        <v>239</v>
      </c>
      <c r="S335" s="323">
        <v>141</v>
      </c>
      <c r="T335" s="323">
        <v>113</v>
      </c>
      <c r="U335" s="323">
        <v>75</v>
      </c>
      <c r="V335" s="323">
        <v>12</v>
      </c>
      <c r="W335" s="323">
        <v>1385</v>
      </c>
      <c r="X335" s="329" t="s">
        <v>934</v>
      </c>
      <c r="Y335" s="330">
        <v>0</v>
      </c>
      <c r="Z335" s="330">
        <v>2</v>
      </c>
      <c r="AA335" s="330">
        <v>0</v>
      </c>
      <c r="AB335" s="330">
        <v>1</v>
      </c>
      <c r="AC335" s="330">
        <v>1</v>
      </c>
      <c r="AD335" s="330">
        <v>3</v>
      </c>
      <c r="AE335" s="330">
        <v>1</v>
      </c>
      <c r="AF335" s="330">
        <v>0</v>
      </c>
      <c r="AG335" s="328">
        <v>8</v>
      </c>
      <c r="AH335" s="329" t="s">
        <v>934</v>
      </c>
      <c r="AI335" s="184">
        <v>11</v>
      </c>
      <c r="AJ335" s="184">
        <v>34</v>
      </c>
      <c r="AK335" s="184">
        <v>112</v>
      </c>
      <c r="AL335" s="184">
        <v>117</v>
      </c>
      <c r="AM335" s="184">
        <v>88</v>
      </c>
      <c r="AN335" s="184">
        <v>77</v>
      </c>
      <c r="AO335" s="184">
        <v>60</v>
      </c>
      <c r="AP335" s="184">
        <v>23</v>
      </c>
      <c r="AQ335" s="336">
        <v>522</v>
      </c>
      <c r="AR335" s="323">
        <v>3</v>
      </c>
      <c r="AS335" s="323">
        <v>2086</v>
      </c>
      <c r="AT335" s="323">
        <v>3409</v>
      </c>
      <c r="AU335" s="323">
        <v>5368</v>
      </c>
      <c r="AV335" s="323">
        <v>3629</v>
      </c>
      <c r="AW335" s="323">
        <v>2114</v>
      </c>
      <c r="AX335" s="323">
        <v>1177</v>
      </c>
      <c r="AY335" s="323">
        <v>855</v>
      </c>
      <c r="AZ335" s="323">
        <v>71</v>
      </c>
      <c r="BA335" s="323">
        <v>18712</v>
      </c>
      <c r="BB335" s="331">
        <v>0</v>
      </c>
      <c r="BC335" s="330">
        <v>12</v>
      </c>
      <c r="BD335" s="330">
        <v>40</v>
      </c>
      <c r="BE335" s="330">
        <v>112</v>
      </c>
      <c r="BF335" s="330">
        <v>82</v>
      </c>
      <c r="BG335" s="330">
        <v>71</v>
      </c>
      <c r="BH335" s="330">
        <v>36</v>
      </c>
      <c r="BI335" s="330">
        <v>25</v>
      </c>
      <c r="BJ335" s="330">
        <v>2</v>
      </c>
      <c r="BK335" s="328">
        <v>380</v>
      </c>
      <c r="BL335" s="323">
        <v>0</v>
      </c>
      <c r="BM335" s="323">
        <v>1</v>
      </c>
      <c r="BN335" s="323">
        <v>1</v>
      </c>
      <c r="BO335" s="323">
        <v>4</v>
      </c>
      <c r="BP335" s="323">
        <v>7</v>
      </c>
      <c r="BQ335" s="323">
        <v>10</v>
      </c>
      <c r="BR335" s="323">
        <v>15</v>
      </c>
      <c r="BS335" s="323">
        <v>26</v>
      </c>
      <c r="BT335" s="323">
        <v>17</v>
      </c>
      <c r="BU335" s="323">
        <v>81</v>
      </c>
      <c r="BV335" s="329" t="s">
        <v>934</v>
      </c>
      <c r="BW335" s="330">
        <v>118</v>
      </c>
      <c r="BX335" s="330">
        <v>104</v>
      </c>
      <c r="BY335" s="330">
        <v>160</v>
      </c>
      <c r="BZ335" s="330">
        <v>182</v>
      </c>
      <c r="CA335" s="330">
        <v>127</v>
      </c>
      <c r="CB335" s="330">
        <v>115</v>
      </c>
      <c r="CC335" s="330">
        <v>115</v>
      </c>
      <c r="CD335" s="330">
        <v>34</v>
      </c>
      <c r="CE335" s="328">
        <v>955</v>
      </c>
      <c r="CF335" s="322" t="s">
        <v>934</v>
      </c>
      <c r="CG335" s="323">
        <v>0</v>
      </c>
      <c r="CH335" s="323">
        <v>0</v>
      </c>
      <c r="CI335" s="323">
        <v>0</v>
      </c>
      <c r="CJ335" s="323">
        <v>0</v>
      </c>
      <c r="CK335" s="323">
        <v>0</v>
      </c>
      <c r="CL335" s="323">
        <v>0</v>
      </c>
      <c r="CM335" s="323">
        <v>0</v>
      </c>
      <c r="CN335" s="323">
        <v>0</v>
      </c>
      <c r="CO335" s="323">
        <v>0</v>
      </c>
      <c r="CP335" s="329" t="s">
        <v>934</v>
      </c>
      <c r="CQ335" s="330">
        <v>118</v>
      </c>
      <c r="CR335" s="330">
        <v>78</v>
      </c>
      <c r="CS335" s="330">
        <v>110</v>
      </c>
      <c r="CT335" s="330">
        <v>109</v>
      </c>
      <c r="CU335" s="330">
        <v>69</v>
      </c>
      <c r="CV335" s="330">
        <v>38</v>
      </c>
      <c r="CW335" s="330">
        <v>28</v>
      </c>
      <c r="CX335" s="330">
        <v>12</v>
      </c>
      <c r="CY335" s="328">
        <v>562</v>
      </c>
      <c r="CZ335" s="322" t="s">
        <v>934</v>
      </c>
      <c r="DA335" s="323">
        <v>0</v>
      </c>
      <c r="DB335" s="323">
        <v>0</v>
      </c>
      <c r="DC335" s="323">
        <v>0</v>
      </c>
      <c r="DD335" s="323">
        <v>0</v>
      </c>
      <c r="DE335" s="323">
        <v>0</v>
      </c>
      <c r="DF335" s="323">
        <v>0</v>
      </c>
      <c r="DG335" s="323">
        <v>0</v>
      </c>
      <c r="DH335" s="323">
        <v>0</v>
      </c>
      <c r="DI335" s="323">
        <v>0</v>
      </c>
      <c r="DJ335" s="337">
        <v>0</v>
      </c>
      <c r="DK335" s="644">
        <v>61911.3</v>
      </c>
      <c r="DL335" s="614">
        <v>3852</v>
      </c>
      <c r="DM335" s="614">
        <v>7013</v>
      </c>
      <c r="DN335" s="614">
        <v>15440</v>
      </c>
      <c r="DO335" s="614">
        <v>12874</v>
      </c>
      <c r="DP335" s="614">
        <v>9999</v>
      </c>
      <c r="DQ335" s="614">
        <v>6994</v>
      </c>
      <c r="DR335" s="614">
        <v>6252</v>
      </c>
      <c r="DS335" s="615">
        <v>810</v>
      </c>
      <c r="DT335" s="607">
        <f t="shared" si="5"/>
        <v>63234</v>
      </c>
      <c r="DU335" s="342"/>
      <c r="EC335" s="646"/>
      <c r="EF335" s="123"/>
      <c r="EG335" s="124"/>
    </row>
    <row r="336" spans="1:137" ht="15">
      <c r="A336" s="22">
        <v>328</v>
      </c>
      <c r="B336" s="23" t="s">
        <v>799</v>
      </c>
      <c r="C336" s="24" t="s">
        <v>800</v>
      </c>
      <c r="D336" s="613"/>
      <c r="E336" s="629">
        <v>18531</v>
      </c>
      <c r="F336" s="629">
        <v>3455</v>
      </c>
      <c r="G336" s="629">
        <v>3380</v>
      </c>
      <c r="H336" s="629">
        <v>2570</v>
      </c>
      <c r="I336" s="629">
        <v>1118</v>
      </c>
      <c r="J336" s="629">
        <v>313</v>
      </c>
      <c r="K336" s="629">
        <v>140</v>
      </c>
      <c r="L336" s="629">
        <v>33</v>
      </c>
      <c r="M336" s="627">
        <v>29540</v>
      </c>
      <c r="N336" s="322"/>
      <c r="O336" s="323">
        <v>690</v>
      </c>
      <c r="P336" s="323">
        <v>78</v>
      </c>
      <c r="Q336" s="323">
        <v>72</v>
      </c>
      <c r="R336" s="323">
        <v>48</v>
      </c>
      <c r="S336" s="323">
        <v>18</v>
      </c>
      <c r="T336" s="323">
        <v>4</v>
      </c>
      <c r="U336" s="323">
        <v>2</v>
      </c>
      <c r="V336" s="323">
        <v>0</v>
      </c>
      <c r="W336" s="323">
        <v>912</v>
      </c>
      <c r="X336" s="329" t="s">
        <v>934</v>
      </c>
      <c r="Y336" s="330">
        <v>0</v>
      </c>
      <c r="Z336" s="330">
        <v>0</v>
      </c>
      <c r="AA336" s="330">
        <v>0</v>
      </c>
      <c r="AB336" s="330">
        <v>0</v>
      </c>
      <c r="AC336" s="330">
        <v>0</v>
      </c>
      <c r="AD336" s="330">
        <v>0</v>
      </c>
      <c r="AE336" s="330">
        <v>0</v>
      </c>
      <c r="AF336" s="330">
        <v>0</v>
      </c>
      <c r="AG336" s="328">
        <v>0</v>
      </c>
      <c r="AH336" s="329" t="s">
        <v>934</v>
      </c>
      <c r="AI336" s="184">
        <v>59</v>
      </c>
      <c r="AJ336" s="184">
        <v>25</v>
      </c>
      <c r="AK336" s="184">
        <v>45</v>
      </c>
      <c r="AL336" s="184">
        <v>27</v>
      </c>
      <c r="AM336" s="184">
        <v>13</v>
      </c>
      <c r="AN336" s="184">
        <v>5</v>
      </c>
      <c r="AO336" s="184">
        <v>8</v>
      </c>
      <c r="AP336" s="184">
        <v>14</v>
      </c>
      <c r="AQ336" s="336">
        <v>196</v>
      </c>
      <c r="AR336" s="323">
        <v>13</v>
      </c>
      <c r="AS336" s="323">
        <v>8286</v>
      </c>
      <c r="AT336" s="323">
        <v>984</v>
      </c>
      <c r="AU336" s="323">
        <v>771</v>
      </c>
      <c r="AV336" s="323">
        <v>407</v>
      </c>
      <c r="AW336" s="323">
        <v>146</v>
      </c>
      <c r="AX336" s="323">
        <v>31</v>
      </c>
      <c r="AY336" s="323">
        <v>15</v>
      </c>
      <c r="AZ336" s="323">
        <v>0</v>
      </c>
      <c r="BA336" s="323">
        <v>10653</v>
      </c>
      <c r="BB336" s="331">
        <v>2</v>
      </c>
      <c r="BC336" s="330">
        <v>109</v>
      </c>
      <c r="BD336" s="330">
        <v>23</v>
      </c>
      <c r="BE336" s="330">
        <v>25</v>
      </c>
      <c r="BF336" s="330">
        <v>19</v>
      </c>
      <c r="BG336" s="330">
        <v>5</v>
      </c>
      <c r="BH336" s="330">
        <v>3</v>
      </c>
      <c r="BI336" s="330">
        <v>0</v>
      </c>
      <c r="BJ336" s="330">
        <v>0</v>
      </c>
      <c r="BK336" s="328">
        <v>186</v>
      </c>
      <c r="BL336" s="323">
        <v>2</v>
      </c>
      <c r="BM336" s="323">
        <v>11</v>
      </c>
      <c r="BN336" s="323">
        <v>5</v>
      </c>
      <c r="BO336" s="323">
        <v>7</v>
      </c>
      <c r="BP336" s="323">
        <v>3</v>
      </c>
      <c r="BQ336" s="323">
        <v>0</v>
      </c>
      <c r="BR336" s="323">
        <v>7</v>
      </c>
      <c r="BS336" s="323">
        <v>15</v>
      </c>
      <c r="BT336" s="323">
        <v>0</v>
      </c>
      <c r="BU336" s="323">
        <v>50</v>
      </c>
      <c r="BV336" s="329" t="s">
        <v>934</v>
      </c>
      <c r="BW336" s="330">
        <v>125</v>
      </c>
      <c r="BX336" s="330">
        <v>49</v>
      </c>
      <c r="BY336" s="330">
        <v>36</v>
      </c>
      <c r="BZ336" s="330">
        <v>14</v>
      </c>
      <c r="CA336" s="330">
        <v>12</v>
      </c>
      <c r="CB336" s="330">
        <v>4</v>
      </c>
      <c r="CC336" s="330">
        <v>5</v>
      </c>
      <c r="CD336" s="330">
        <v>0</v>
      </c>
      <c r="CE336" s="328">
        <v>245</v>
      </c>
      <c r="CF336" s="322" t="s">
        <v>934</v>
      </c>
      <c r="CG336" s="323">
        <v>484</v>
      </c>
      <c r="CH336" s="323">
        <v>108</v>
      </c>
      <c r="CI336" s="323">
        <v>82</v>
      </c>
      <c r="CJ336" s="323">
        <v>44</v>
      </c>
      <c r="CK336" s="323">
        <v>25</v>
      </c>
      <c r="CL336" s="323">
        <v>11</v>
      </c>
      <c r="CM336" s="323">
        <v>4</v>
      </c>
      <c r="CN336" s="323">
        <v>3</v>
      </c>
      <c r="CO336" s="323">
        <v>761</v>
      </c>
      <c r="CP336" s="329" t="s">
        <v>934</v>
      </c>
      <c r="CQ336" s="330">
        <v>0</v>
      </c>
      <c r="CR336" s="330">
        <v>0</v>
      </c>
      <c r="CS336" s="330">
        <v>0</v>
      </c>
      <c r="CT336" s="330">
        <v>0</v>
      </c>
      <c r="CU336" s="330">
        <v>0</v>
      </c>
      <c r="CV336" s="330">
        <v>0</v>
      </c>
      <c r="CW336" s="330">
        <v>0</v>
      </c>
      <c r="CX336" s="330">
        <v>0</v>
      </c>
      <c r="CY336" s="328">
        <v>0</v>
      </c>
      <c r="CZ336" s="322" t="s">
        <v>934</v>
      </c>
      <c r="DA336" s="323">
        <v>0</v>
      </c>
      <c r="DB336" s="323">
        <v>0</v>
      </c>
      <c r="DC336" s="323">
        <v>0</v>
      </c>
      <c r="DD336" s="323">
        <v>0</v>
      </c>
      <c r="DE336" s="323">
        <v>0</v>
      </c>
      <c r="DF336" s="323">
        <v>0</v>
      </c>
      <c r="DG336" s="323">
        <v>0</v>
      </c>
      <c r="DH336" s="323">
        <v>0</v>
      </c>
      <c r="DI336" s="323">
        <v>0</v>
      </c>
      <c r="DJ336" s="337">
        <v>0</v>
      </c>
      <c r="DK336" s="644">
        <v>19679.1</v>
      </c>
      <c r="DL336" s="616">
        <v>18525</v>
      </c>
      <c r="DM336" s="616">
        <v>3602</v>
      </c>
      <c r="DN336" s="616">
        <v>3537</v>
      </c>
      <c r="DO336" s="616">
        <v>2678</v>
      </c>
      <c r="DP336" s="616">
        <v>1184</v>
      </c>
      <c r="DQ336" s="616">
        <v>326</v>
      </c>
      <c r="DR336" s="616">
        <v>140</v>
      </c>
      <c r="DS336" s="617">
        <v>34</v>
      </c>
      <c r="DT336" s="607">
        <f t="shared" si="5"/>
        <v>30026</v>
      </c>
      <c r="DU336" s="342"/>
      <c r="EC336" s="646"/>
      <c r="EF336" s="125"/>
      <c r="EG336" s="124"/>
    </row>
    <row r="337" spans="1:137" ht="15">
      <c r="A337" s="22">
        <v>329</v>
      </c>
      <c r="B337" s="23" t="s">
        <v>801</v>
      </c>
      <c r="C337" s="24" t="s">
        <v>802</v>
      </c>
      <c r="D337" s="613"/>
      <c r="E337" s="630">
        <v>10066</v>
      </c>
      <c r="F337" s="630">
        <v>8836</v>
      </c>
      <c r="G337" s="630">
        <v>6224</v>
      </c>
      <c r="H337" s="630">
        <v>3421</v>
      </c>
      <c r="I337" s="630">
        <v>2007</v>
      </c>
      <c r="J337" s="630">
        <v>763</v>
      </c>
      <c r="K337" s="630">
        <v>379</v>
      </c>
      <c r="L337" s="630">
        <v>31</v>
      </c>
      <c r="M337" s="627">
        <v>31727</v>
      </c>
      <c r="N337" s="322"/>
      <c r="O337" s="323">
        <v>266</v>
      </c>
      <c r="P337" s="323">
        <v>178</v>
      </c>
      <c r="Q337" s="323">
        <v>86</v>
      </c>
      <c r="R337" s="323">
        <v>34</v>
      </c>
      <c r="S337" s="323">
        <v>26</v>
      </c>
      <c r="T337" s="323">
        <v>9</v>
      </c>
      <c r="U337" s="323">
        <v>5</v>
      </c>
      <c r="V337" s="323">
        <v>2</v>
      </c>
      <c r="W337" s="323">
        <v>606</v>
      </c>
      <c r="X337" s="329" t="s">
        <v>934</v>
      </c>
      <c r="Y337" s="330">
        <v>2</v>
      </c>
      <c r="Z337" s="330">
        <v>1</v>
      </c>
      <c r="AA337" s="330">
        <v>0</v>
      </c>
      <c r="AB337" s="330">
        <v>0</v>
      </c>
      <c r="AC337" s="330">
        <v>0</v>
      </c>
      <c r="AD337" s="330">
        <v>0</v>
      </c>
      <c r="AE337" s="330">
        <v>0</v>
      </c>
      <c r="AF337" s="330">
        <v>0</v>
      </c>
      <c r="AG337" s="328">
        <v>3</v>
      </c>
      <c r="AH337" s="329" t="s">
        <v>934</v>
      </c>
      <c r="AI337" s="184">
        <v>23</v>
      </c>
      <c r="AJ337" s="184">
        <v>58</v>
      </c>
      <c r="AK337" s="184">
        <v>43</v>
      </c>
      <c r="AL337" s="184">
        <v>27</v>
      </c>
      <c r="AM337" s="184">
        <v>9</v>
      </c>
      <c r="AN337" s="184">
        <v>8</v>
      </c>
      <c r="AO337" s="184">
        <v>6</v>
      </c>
      <c r="AP337" s="184">
        <v>5</v>
      </c>
      <c r="AQ337" s="336">
        <v>179</v>
      </c>
      <c r="AR337" s="323">
        <v>16</v>
      </c>
      <c r="AS337" s="323">
        <v>5108</v>
      </c>
      <c r="AT337" s="323">
        <v>3169</v>
      </c>
      <c r="AU337" s="323">
        <v>1609</v>
      </c>
      <c r="AV337" s="323">
        <v>597</v>
      </c>
      <c r="AW337" s="323">
        <v>267</v>
      </c>
      <c r="AX337" s="323">
        <v>111</v>
      </c>
      <c r="AY337" s="323">
        <v>44</v>
      </c>
      <c r="AZ337" s="323">
        <v>4</v>
      </c>
      <c r="BA337" s="323">
        <v>10925</v>
      </c>
      <c r="BB337" s="331">
        <v>1</v>
      </c>
      <c r="BC337" s="330">
        <v>20</v>
      </c>
      <c r="BD337" s="330">
        <v>30</v>
      </c>
      <c r="BE337" s="330">
        <v>20</v>
      </c>
      <c r="BF337" s="330">
        <v>11</v>
      </c>
      <c r="BG337" s="330">
        <v>5</v>
      </c>
      <c r="BH337" s="330">
        <v>1</v>
      </c>
      <c r="BI337" s="330">
        <v>2</v>
      </c>
      <c r="BJ337" s="330">
        <v>0</v>
      </c>
      <c r="BK337" s="328">
        <v>90</v>
      </c>
      <c r="BL337" s="323">
        <v>0</v>
      </c>
      <c r="BM337" s="323">
        <v>1</v>
      </c>
      <c r="BN337" s="323">
        <v>4</v>
      </c>
      <c r="BO337" s="323">
        <v>1</v>
      </c>
      <c r="BP337" s="323">
        <v>2</v>
      </c>
      <c r="BQ337" s="323">
        <v>5</v>
      </c>
      <c r="BR337" s="323">
        <v>6</v>
      </c>
      <c r="BS337" s="323">
        <v>7</v>
      </c>
      <c r="BT337" s="323">
        <v>2</v>
      </c>
      <c r="BU337" s="323">
        <v>28</v>
      </c>
      <c r="BV337" s="329" t="s">
        <v>934</v>
      </c>
      <c r="BW337" s="330">
        <v>31</v>
      </c>
      <c r="BX337" s="330">
        <v>26</v>
      </c>
      <c r="BY337" s="330">
        <v>19</v>
      </c>
      <c r="BZ337" s="330">
        <v>6</v>
      </c>
      <c r="CA337" s="330">
        <v>8</v>
      </c>
      <c r="CB337" s="330">
        <v>3</v>
      </c>
      <c r="CC337" s="330">
        <v>2</v>
      </c>
      <c r="CD337" s="330">
        <v>0</v>
      </c>
      <c r="CE337" s="328">
        <v>95</v>
      </c>
      <c r="CF337" s="322" t="s">
        <v>934</v>
      </c>
      <c r="CG337" s="323">
        <v>0</v>
      </c>
      <c r="CH337" s="323">
        <v>0</v>
      </c>
      <c r="CI337" s="323">
        <v>0</v>
      </c>
      <c r="CJ337" s="323">
        <v>0</v>
      </c>
      <c r="CK337" s="323">
        <v>0</v>
      </c>
      <c r="CL337" s="323">
        <v>0</v>
      </c>
      <c r="CM337" s="323">
        <v>0</v>
      </c>
      <c r="CN337" s="323">
        <v>0</v>
      </c>
      <c r="CO337" s="323">
        <v>0</v>
      </c>
      <c r="CP337" s="329" t="s">
        <v>934</v>
      </c>
      <c r="CQ337" s="330">
        <v>144</v>
      </c>
      <c r="CR337" s="330">
        <v>97</v>
      </c>
      <c r="CS337" s="330">
        <v>50</v>
      </c>
      <c r="CT337" s="330">
        <v>27</v>
      </c>
      <c r="CU337" s="330">
        <v>17</v>
      </c>
      <c r="CV337" s="330">
        <v>3</v>
      </c>
      <c r="CW337" s="330">
        <v>6</v>
      </c>
      <c r="CX337" s="330">
        <v>2</v>
      </c>
      <c r="CY337" s="328">
        <v>346</v>
      </c>
      <c r="CZ337" s="322" t="s">
        <v>934</v>
      </c>
      <c r="DA337" s="323">
        <v>0</v>
      </c>
      <c r="DB337" s="323">
        <v>0</v>
      </c>
      <c r="DC337" s="323">
        <v>0</v>
      </c>
      <c r="DD337" s="323">
        <v>0</v>
      </c>
      <c r="DE337" s="323">
        <v>0</v>
      </c>
      <c r="DF337" s="323">
        <v>0</v>
      </c>
      <c r="DG337" s="323">
        <v>0</v>
      </c>
      <c r="DH337" s="323">
        <v>0</v>
      </c>
      <c r="DI337" s="323">
        <v>0</v>
      </c>
      <c r="DJ337" s="337">
        <v>0</v>
      </c>
      <c r="DK337" s="644">
        <v>24080.1</v>
      </c>
      <c r="DL337" s="614">
        <v>10160</v>
      </c>
      <c r="DM337" s="614">
        <v>8987</v>
      </c>
      <c r="DN337" s="614">
        <v>6334</v>
      </c>
      <c r="DO337" s="614">
        <v>3502</v>
      </c>
      <c r="DP337" s="614">
        <v>2009</v>
      </c>
      <c r="DQ337" s="614">
        <v>767</v>
      </c>
      <c r="DR337" s="614">
        <v>386</v>
      </c>
      <c r="DS337" s="615">
        <v>31</v>
      </c>
      <c r="DT337" s="607">
        <f t="shared" si="5"/>
        <v>32176</v>
      </c>
      <c r="DU337" s="342"/>
      <c r="EC337" s="646"/>
      <c r="EF337" s="127"/>
      <c r="EG337" s="124"/>
    </row>
    <row r="338" spans="1:137" ht="15">
      <c r="A338" s="22">
        <v>330</v>
      </c>
      <c r="B338" s="23" t="s">
        <v>803</v>
      </c>
      <c r="C338" s="24" t="s">
        <v>804</v>
      </c>
      <c r="D338" s="613"/>
      <c r="E338" s="629">
        <v>582</v>
      </c>
      <c r="F338" s="629">
        <v>4463</v>
      </c>
      <c r="G338" s="629">
        <v>14326</v>
      </c>
      <c r="H338" s="629">
        <v>11186</v>
      </c>
      <c r="I338" s="629">
        <v>4790</v>
      </c>
      <c r="J338" s="629">
        <v>4257</v>
      </c>
      <c r="K338" s="629">
        <v>3670</v>
      </c>
      <c r="L338" s="629">
        <v>568</v>
      </c>
      <c r="M338" s="627">
        <v>43842</v>
      </c>
      <c r="N338" s="322"/>
      <c r="O338" s="323">
        <v>41</v>
      </c>
      <c r="P338" s="323">
        <v>256</v>
      </c>
      <c r="Q338" s="323">
        <v>741</v>
      </c>
      <c r="R338" s="323">
        <v>226</v>
      </c>
      <c r="S338" s="323">
        <v>130</v>
      </c>
      <c r="T338" s="323">
        <v>73</v>
      </c>
      <c r="U338" s="323">
        <v>45</v>
      </c>
      <c r="V338" s="323">
        <v>20</v>
      </c>
      <c r="W338" s="323">
        <v>1532</v>
      </c>
      <c r="X338" s="329" t="s">
        <v>934</v>
      </c>
      <c r="Y338" s="330">
        <v>0</v>
      </c>
      <c r="Z338" s="330">
        <v>0</v>
      </c>
      <c r="AA338" s="330">
        <v>1</v>
      </c>
      <c r="AB338" s="330">
        <v>1</v>
      </c>
      <c r="AC338" s="330">
        <v>0</v>
      </c>
      <c r="AD338" s="330">
        <v>3</v>
      </c>
      <c r="AE338" s="330">
        <v>1</v>
      </c>
      <c r="AF338" s="330">
        <v>0</v>
      </c>
      <c r="AG338" s="328">
        <v>6</v>
      </c>
      <c r="AH338" s="329" t="s">
        <v>934</v>
      </c>
      <c r="AI338" s="184">
        <v>0</v>
      </c>
      <c r="AJ338" s="184">
        <v>3</v>
      </c>
      <c r="AK338" s="184">
        <v>51</v>
      </c>
      <c r="AL338" s="184">
        <v>61</v>
      </c>
      <c r="AM338" s="184">
        <v>29</v>
      </c>
      <c r="AN338" s="184">
        <v>30</v>
      </c>
      <c r="AO338" s="184">
        <v>30</v>
      </c>
      <c r="AP338" s="184">
        <v>8</v>
      </c>
      <c r="AQ338" s="336">
        <v>212</v>
      </c>
      <c r="AR338" s="323">
        <v>0</v>
      </c>
      <c r="AS338" s="323">
        <v>341</v>
      </c>
      <c r="AT338" s="323">
        <v>3026</v>
      </c>
      <c r="AU338" s="323">
        <v>5459</v>
      </c>
      <c r="AV338" s="323">
        <v>3153</v>
      </c>
      <c r="AW338" s="323">
        <v>1122</v>
      </c>
      <c r="AX338" s="323">
        <v>743</v>
      </c>
      <c r="AY338" s="323">
        <v>496</v>
      </c>
      <c r="AZ338" s="323">
        <v>36</v>
      </c>
      <c r="BA338" s="323">
        <v>14376</v>
      </c>
      <c r="BB338" s="331">
        <v>0</v>
      </c>
      <c r="BC338" s="330">
        <v>3</v>
      </c>
      <c r="BD338" s="330">
        <v>39</v>
      </c>
      <c r="BE338" s="330">
        <v>188</v>
      </c>
      <c r="BF338" s="330">
        <v>157</v>
      </c>
      <c r="BG338" s="330">
        <v>42</v>
      </c>
      <c r="BH338" s="330">
        <v>35</v>
      </c>
      <c r="BI338" s="330">
        <v>37</v>
      </c>
      <c r="BJ338" s="330">
        <v>3</v>
      </c>
      <c r="BK338" s="328">
        <v>504</v>
      </c>
      <c r="BL338" s="323">
        <v>0</v>
      </c>
      <c r="BM338" s="323">
        <v>0</v>
      </c>
      <c r="BN338" s="323">
        <v>0</v>
      </c>
      <c r="BO338" s="323">
        <v>6</v>
      </c>
      <c r="BP338" s="323">
        <v>10</v>
      </c>
      <c r="BQ338" s="323">
        <v>4</v>
      </c>
      <c r="BR338" s="323">
        <v>6</v>
      </c>
      <c r="BS338" s="323">
        <v>11</v>
      </c>
      <c r="BT338" s="323">
        <v>6</v>
      </c>
      <c r="BU338" s="323">
        <v>43</v>
      </c>
      <c r="BV338" s="329" t="s">
        <v>934</v>
      </c>
      <c r="BW338" s="330">
        <v>41</v>
      </c>
      <c r="BX338" s="330">
        <v>163</v>
      </c>
      <c r="BY338" s="330">
        <v>324</v>
      </c>
      <c r="BZ338" s="330">
        <v>141</v>
      </c>
      <c r="CA338" s="330">
        <v>73</v>
      </c>
      <c r="CB338" s="330">
        <v>52</v>
      </c>
      <c r="CC338" s="330">
        <v>49</v>
      </c>
      <c r="CD338" s="330">
        <v>20</v>
      </c>
      <c r="CE338" s="328">
        <v>863</v>
      </c>
      <c r="CF338" s="322" t="s">
        <v>934</v>
      </c>
      <c r="CG338" s="323">
        <v>0</v>
      </c>
      <c r="CH338" s="323">
        <v>0</v>
      </c>
      <c r="CI338" s="323">
        <v>0</v>
      </c>
      <c r="CJ338" s="323">
        <v>0</v>
      </c>
      <c r="CK338" s="323">
        <v>0</v>
      </c>
      <c r="CL338" s="323">
        <v>0</v>
      </c>
      <c r="CM338" s="323">
        <v>0</v>
      </c>
      <c r="CN338" s="323">
        <v>0</v>
      </c>
      <c r="CO338" s="323">
        <v>0</v>
      </c>
      <c r="CP338" s="329" t="s">
        <v>934</v>
      </c>
      <c r="CQ338" s="330">
        <v>0</v>
      </c>
      <c r="CR338" s="330">
        <v>0</v>
      </c>
      <c r="CS338" s="330">
        <v>0</v>
      </c>
      <c r="CT338" s="330">
        <v>0</v>
      </c>
      <c r="CU338" s="330">
        <v>0</v>
      </c>
      <c r="CV338" s="330">
        <v>0</v>
      </c>
      <c r="CW338" s="330">
        <v>0</v>
      </c>
      <c r="CX338" s="330">
        <v>0</v>
      </c>
      <c r="CY338" s="328">
        <v>0</v>
      </c>
      <c r="CZ338" s="322" t="s">
        <v>934</v>
      </c>
      <c r="DA338" s="323">
        <v>0</v>
      </c>
      <c r="DB338" s="323">
        <v>0</v>
      </c>
      <c r="DC338" s="323">
        <v>0</v>
      </c>
      <c r="DD338" s="323">
        <v>0</v>
      </c>
      <c r="DE338" s="323">
        <v>0</v>
      </c>
      <c r="DF338" s="323">
        <v>0</v>
      </c>
      <c r="DG338" s="323">
        <v>0</v>
      </c>
      <c r="DH338" s="323">
        <v>0</v>
      </c>
      <c r="DI338" s="323">
        <v>0</v>
      </c>
      <c r="DJ338" s="337">
        <v>0</v>
      </c>
      <c r="DK338" s="644">
        <v>41424.1</v>
      </c>
      <c r="DL338" s="616">
        <v>622</v>
      </c>
      <c r="DM338" s="616">
        <v>4612</v>
      </c>
      <c r="DN338" s="616">
        <v>14519</v>
      </c>
      <c r="DO338" s="616">
        <v>11331</v>
      </c>
      <c r="DP338" s="616">
        <v>4921</v>
      </c>
      <c r="DQ338" s="616">
        <v>4262</v>
      </c>
      <c r="DR338" s="616">
        <v>3688</v>
      </c>
      <c r="DS338" s="617">
        <v>564</v>
      </c>
      <c r="DT338" s="607">
        <f t="shared" si="5"/>
        <v>44519</v>
      </c>
      <c r="DU338" s="342"/>
      <c r="EC338" s="646"/>
      <c r="EF338" s="125"/>
      <c r="EG338" s="124"/>
    </row>
    <row r="339" spans="1:137" ht="15">
      <c r="A339" s="22">
        <v>331</v>
      </c>
      <c r="B339" s="23" t="s">
        <v>805</v>
      </c>
      <c r="C339" s="24" t="s">
        <v>806</v>
      </c>
      <c r="D339" s="613"/>
      <c r="E339" s="629">
        <v>2208</v>
      </c>
      <c r="F339" s="629">
        <v>5856</v>
      </c>
      <c r="G339" s="629">
        <v>17802</v>
      </c>
      <c r="H339" s="629">
        <v>16099</v>
      </c>
      <c r="I339" s="629">
        <v>9650</v>
      </c>
      <c r="J339" s="629">
        <v>6080</v>
      </c>
      <c r="K339" s="629">
        <v>3744</v>
      </c>
      <c r="L339" s="629">
        <v>593</v>
      </c>
      <c r="M339" s="627">
        <v>62032</v>
      </c>
      <c r="N339" s="322"/>
      <c r="O339" s="323">
        <v>173</v>
      </c>
      <c r="P339" s="323">
        <v>217</v>
      </c>
      <c r="Q339" s="323">
        <v>293</v>
      </c>
      <c r="R339" s="323">
        <v>401</v>
      </c>
      <c r="S339" s="323">
        <v>147</v>
      </c>
      <c r="T339" s="323">
        <v>61</v>
      </c>
      <c r="U339" s="323">
        <v>35</v>
      </c>
      <c r="V339" s="323">
        <v>14</v>
      </c>
      <c r="W339" s="323">
        <v>1341</v>
      </c>
      <c r="X339" s="329" t="s">
        <v>934</v>
      </c>
      <c r="Y339" s="330">
        <v>0</v>
      </c>
      <c r="Z339" s="330">
        <v>0</v>
      </c>
      <c r="AA339" s="330">
        <v>0</v>
      </c>
      <c r="AB339" s="330">
        <v>0</v>
      </c>
      <c r="AC339" s="330">
        <v>0</v>
      </c>
      <c r="AD339" s="330">
        <v>0</v>
      </c>
      <c r="AE339" s="330">
        <v>0</v>
      </c>
      <c r="AF339" s="330">
        <v>0</v>
      </c>
      <c r="AG339" s="328">
        <v>0</v>
      </c>
      <c r="AH339" s="329" t="s">
        <v>934</v>
      </c>
      <c r="AI339" s="184">
        <v>4</v>
      </c>
      <c r="AJ339" s="184">
        <v>15</v>
      </c>
      <c r="AK339" s="184">
        <v>73</v>
      </c>
      <c r="AL339" s="184">
        <v>87</v>
      </c>
      <c r="AM339" s="184">
        <v>72</v>
      </c>
      <c r="AN339" s="184">
        <v>49</v>
      </c>
      <c r="AO339" s="184">
        <v>30</v>
      </c>
      <c r="AP339" s="184">
        <v>6</v>
      </c>
      <c r="AQ339" s="336">
        <v>336</v>
      </c>
      <c r="AR339" s="323">
        <v>2</v>
      </c>
      <c r="AS339" s="323">
        <v>1143</v>
      </c>
      <c r="AT339" s="323">
        <v>3362</v>
      </c>
      <c r="AU339" s="323">
        <v>5652</v>
      </c>
      <c r="AV339" s="323">
        <v>3703</v>
      </c>
      <c r="AW339" s="323">
        <v>1665</v>
      </c>
      <c r="AX339" s="323">
        <v>729</v>
      </c>
      <c r="AY339" s="323">
        <v>381</v>
      </c>
      <c r="AZ339" s="323">
        <v>41</v>
      </c>
      <c r="BA339" s="323">
        <v>16678</v>
      </c>
      <c r="BB339" s="331">
        <v>0</v>
      </c>
      <c r="BC339" s="330">
        <v>4</v>
      </c>
      <c r="BD339" s="330">
        <v>22</v>
      </c>
      <c r="BE339" s="330">
        <v>82</v>
      </c>
      <c r="BF339" s="330">
        <v>77</v>
      </c>
      <c r="BG339" s="330">
        <v>54</v>
      </c>
      <c r="BH339" s="330">
        <v>31</v>
      </c>
      <c r="BI339" s="330">
        <v>13</v>
      </c>
      <c r="BJ339" s="330">
        <v>0</v>
      </c>
      <c r="BK339" s="328">
        <v>283</v>
      </c>
      <c r="BL339" s="323">
        <v>0</v>
      </c>
      <c r="BM339" s="323">
        <v>1</v>
      </c>
      <c r="BN339" s="323">
        <v>4</v>
      </c>
      <c r="BO339" s="323">
        <v>5</v>
      </c>
      <c r="BP339" s="323">
        <v>8</v>
      </c>
      <c r="BQ339" s="323">
        <v>8</v>
      </c>
      <c r="BR339" s="323">
        <v>10</v>
      </c>
      <c r="BS339" s="323">
        <v>19</v>
      </c>
      <c r="BT339" s="323">
        <v>9</v>
      </c>
      <c r="BU339" s="323">
        <v>64</v>
      </c>
      <c r="BV339" s="329" t="s">
        <v>934</v>
      </c>
      <c r="BW339" s="330">
        <v>2</v>
      </c>
      <c r="BX339" s="330">
        <v>0</v>
      </c>
      <c r="BY339" s="330">
        <v>4</v>
      </c>
      <c r="BZ339" s="330">
        <v>4</v>
      </c>
      <c r="CA339" s="330">
        <v>0</v>
      </c>
      <c r="CB339" s="330">
        <v>3</v>
      </c>
      <c r="CC339" s="330">
        <v>0</v>
      </c>
      <c r="CD339" s="330">
        <v>0</v>
      </c>
      <c r="CE339" s="328">
        <v>13</v>
      </c>
      <c r="CF339" s="322" t="s">
        <v>934</v>
      </c>
      <c r="CG339" s="323">
        <v>80</v>
      </c>
      <c r="CH339" s="323">
        <v>114</v>
      </c>
      <c r="CI339" s="323">
        <v>107</v>
      </c>
      <c r="CJ339" s="323">
        <v>102</v>
      </c>
      <c r="CK339" s="323">
        <v>43</v>
      </c>
      <c r="CL339" s="323">
        <v>35</v>
      </c>
      <c r="CM339" s="323">
        <v>28</v>
      </c>
      <c r="CN339" s="323">
        <v>5</v>
      </c>
      <c r="CO339" s="323">
        <v>514</v>
      </c>
      <c r="CP339" s="329" t="s">
        <v>934</v>
      </c>
      <c r="CQ339" s="330">
        <v>0</v>
      </c>
      <c r="CR339" s="330">
        <v>0</v>
      </c>
      <c r="CS339" s="330">
        <v>0</v>
      </c>
      <c r="CT339" s="330">
        <v>0</v>
      </c>
      <c r="CU339" s="330">
        <v>0</v>
      </c>
      <c r="CV339" s="330">
        <v>0</v>
      </c>
      <c r="CW339" s="330">
        <v>0</v>
      </c>
      <c r="CX339" s="330">
        <v>0</v>
      </c>
      <c r="CY339" s="328">
        <v>0</v>
      </c>
      <c r="CZ339" s="322" t="s">
        <v>934</v>
      </c>
      <c r="DA339" s="323">
        <v>28</v>
      </c>
      <c r="DB339" s="323">
        <v>34</v>
      </c>
      <c r="DC339" s="323">
        <v>130</v>
      </c>
      <c r="DD339" s="323">
        <v>87</v>
      </c>
      <c r="DE339" s="323">
        <v>67</v>
      </c>
      <c r="DF339" s="323">
        <v>56</v>
      </c>
      <c r="DG339" s="323">
        <v>63</v>
      </c>
      <c r="DH339" s="323">
        <v>36</v>
      </c>
      <c r="DI339" s="323">
        <v>501</v>
      </c>
      <c r="DJ339" s="337">
        <v>0</v>
      </c>
      <c r="DK339" s="644">
        <v>60253.2</v>
      </c>
      <c r="DL339" s="616">
        <v>2233</v>
      </c>
      <c r="DM339" s="616">
        <v>5962</v>
      </c>
      <c r="DN339" s="616">
        <v>18082</v>
      </c>
      <c r="DO339" s="616">
        <v>16400</v>
      </c>
      <c r="DP339" s="616">
        <v>9839</v>
      </c>
      <c r="DQ339" s="616">
        <v>6213</v>
      </c>
      <c r="DR339" s="616">
        <v>3886</v>
      </c>
      <c r="DS339" s="617">
        <v>604</v>
      </c>
      <c r="DT339" s="607">
        <f t="shared" si="5"/>
        <v>63219</v>
      </c>
      <c r="DU339" s="342"/>
      <c r="EC339" s="646"/>
      <c r="EF339" s="125"/>
      <c r="EG339" s="124"/>
    </row>
    <row r="340" spans="1:137" ht="15">
      <c r="A340" s="22">
        <v>332</v>
      </c>
      <c r="B340" s="23" t="s">
        <v>807</v>
      </c>
      <c r="C340" s="24" t="s">
        <v>808</v>
      </c>
      <c r="D340" s="613"/>
      <c r="E340" s="628">
        <v>3031</v>
      </c>
      <c r="F340" s="628">
        <v>5762</v>
      </c>
      <c r="G340" s="628">
        <v>4377</v>
      </c>
      <c r="H340" s="628">
        <v>3779</v>
      </c>
      <c r="I340" s="628">
        <v>3050</v>
      </c>
      <c r="J340" s="628">
        <v>1624</v>
      </c>
      <c r="K340" s="628">
        <v>969</v>
      </c>
      <c r="L340" s="628">
        <v>82</v>
      </c>
      <c r="M340" s="627">
        <v>22674</v>
      </c>
      <c r="N340" s="322"/>
      <c r="O340" s="323">
        <v>140</v>
      </c>
      <c r="P340" s="323">
        <v>159</v>
      </c>
      <c r="Q340" s="323">
        <v>148</v>
      </c>
      <c r="R340" s="323">
        <v>88</v>
      </c>
      <c r="S340" s="323">
        <v>66</v>
      </c>
      <c r="T340" s="323">
        <v>28</v>
      </c>
      <c r="U340" s="323">
        <v>19</v>
      </c>
      <c r="V340" s="323">
        <v>3</v>
      </c>
      <c r="W340" s="323">
        <v>651</v>
      </c>
      <c r="X340" s="329" t="s">
        <v>934</v>
      </c>
      <c r="Y340" s="330">
        <v>0</v>
      </c>
      <c r="Z340" s="330">
        <v>0</v>
      </c>
      <c r="AA340" s="330">
        <v>0</v>
      </c>
      <c r="AB340" s="330">
        <v>0</v>
      </c>
      <c r="AC340" s="330">
        <v>0</v>
      </c>
      <c r="AD340" s="330">
        <v>0</v>
      </c>
      <c r="AE340" s="330">
        <v>0</v>
      </c>
      <c r="AF340" s="330">
        <v>0</v>
      </c>
      <c r="AG340" s="328">
        <v>0</v>
      </c>
      <c r="AH340" s="329" t="s">
        <v>934</v>
      </c>
      <c r="AI340" s="184">
        <v>11</v>
      </c>
      <c r="AJ340" s="184">
        <v>31</v>
      </c>
      <c r="AK340" s="184">
        <v>24</v>
      </c>
      <c r="AL340" s="184">
        <v>35</v>
      </c>
      <c r="AM340" s="184">
        <v>36</v>
      </c>
      <c r="AN340" s="184">
        <v>19</v>
      </c>
      <c r="AO340" s="184">
        <v>32</v>
      </c>
      <c r="AP340" s="184">
        <v>3</v>
      </c>
      <c r="AQ340" s="336">
        <v>191</v>
      </c>
      <c r="AR340" s="323">
        <v>3</v>
      </c>
      <c r="AS340" s="323">
        <v>1491</v>
      </c>
      <c r="AT340" s="323">
        <v>2080</v>
      </c>
      <c r="AU340" s="323">
        <v>1238</v>
      </c>
      <c r="AV340" s="323">
        <v>882</v>
      </c>
      <c r="AW340" s="323">
        <v>564</v>
      </c>
      <c r="AX340" s="323">
        <v>257</v>
      </c>
      <c r="AY340" s="323">
        <v>108</v>
      </c>
      <c r="AZ340" s="323">
        <v>6</v>
      </c>
      <c r="BA340" s="323">
        <v>6629</v>
      </c>
      <c r="BB340" s="331">
        <v>0</v>
      </c>
      <c r="BC340" s="330">
        <v>12</v>
      </c>
      <c r="BD340" s="330">
        <v>39</v>
      </c>
      <c r="BE340" s="330">
        <v>25</v>
      </c>
      <c r="BF340" s="330">
        <v>20</v>
      </c>
      <c r="BG340" s="330">
        <v>13</v>
      </c>
      <c r="BH340" s="330">
        <v>5</v>
      </c>
      <c r="BI340" s="330">
        <v>4</v>
      </c>
      <c r="BJ340" s="330">
        <v>1</v>
      </c>
      <c r="BK340" s="328">
        <v>119</v>
      </c>
      <c r="BL340" s="323">
        <v>0</v>
      </c>
      <c r="BM340" s="323">
        <v>1</v>
      </c>
      <c r="BN340" s="323">
        <v>3</v>
      </c>
      <c r="BO340" s="323">
        <v>2</v>
      </c>
      <c r="BP340" s="323">
        <v>1</v>
      </c>
      <c r="BQ340" s="323">
        <v>3</v>
      </c>
      <c r="BR340" s="323">
        <v>16</v>
      </c>
      <c r="BS340" s="323">
        <v>5</v>
      </c>
      <c r="BT340" s="323">
        <v>2</v>
      </c>
      <c r="BU340" s="323">
        <v>33</v>
      </c>
      <c r="BV340" s="329" t="s">
        <v>934</v>
      </c>
      <c r="BW340" s="330">
        <v>89</v>
      </c>
      <c r="BX340" s="330">
        <v>116</v>
      </c>
      <c r="BY340" s="330">
        <v>97</v>
      </c>
      <c r="BZ340" s="330">
        <v>79</v>
      </c>
      <c r="CA340" s="330">
        <v>66</v>
      </c>
      <c r="CB340" s="330">
        <v>36</v>
      </c>
      <c r="CC340" s="330">
        <v>19</v>
      </c>
      <c r="CD340" s="330">
        <v>5</v>
      </c>
      <c r="CE340" s="328">
        <v>507</v>
      </c>
      <c r="CF340" s="322" t="s">
        <v>934</v>
      </c>
      <c r="CG340" s="323">
        <v>0</v>
      </c>
      <c r="CH340" s="323">
        <v>0</v>
      </c>
      <c r="CI340" s="323">
        <v>0</v>
      </c>
      <c r="CJ340" s="323">
        <v>0</v>
      </c>
      <c r="CK340" s="323">
        <v>0</v>
      </c>
      <c r="CL340" s="323">
        <v>0</v>
      </c>
      <c r="CM340" s="323">
        <v>0</v>
      </c>
      <c r="CN340" s="323">
        <v>0</v>
      </c>
      <c r="CO340" s="323">
        <v>0</v>
      </c>
      <c r="CP340" s="329" t="s">
        <v>934</v>
      </c>
      <c r="CQ340" s="330">
        <v>72</v>
      </c>
      <c r="CR340" s="330">
        <v>58</v>
      </c>
      <c r="CS340" s="330">
        <v>54</v>
      </c>
      <c r="CT340" s="330">
        <v>35</v>
      </c>
      <c r="CU340" s="330">
        <v>18</v>
      </c>
      <c r="CV340" s="330">
        <v>9</v>
      </c>
      <c r="CW340" s="330">
        <v>6</v>
      </c>
      <c r="CX340" s="330">
        <v>1</v>
      </c>
      <c r="CY340" s="328">
        <v>253</v>
      </c>
      <c r="CZ340" s="322" t="s">
        <v>934</v>
      </c>
      <c r="DA340" s="323">
        <v>0</v>
      </c>
      <c r="DB340" s="323">
        <v>0</v>
      </c>
      <c r="DC340" s="323">
        <v>0</v>
      </c>
      <c r="DD340" s="323">
        <v>0</v>
      </c>
      <c r="DE340" s="323">
        <v>0</v>
      </c>
      <c r="DF340" s="323">
        <v>0</v>
      </c>
      <c r="DG340" s="323">
        <v>0</v>
      </c>
      <c r="DH340" s="323">
        <v>0</v>
      </c>
      <c r="DI340" s="323">
        <v>0</v>
      </c>
      <c r="DJ340" s="337">
        <v>30.7</v>
      </c>
      <c r="DK340" s="644">
        <v>19671</v>
      </c>
      <c r="DL340" s="614">
        <v>3058</v>
      </c>
      <c r="DM340" s="614">
        <v>5826</v>
      </c>
      <c r="DN340" s="614">
        <v>4460</v>
      </c>
      <c r="DO340" s="614">
        <v>3865</v>
      </c>
      <c r="DP340" s="614">
        <v>3096</v>
      </c>
      <c r="DQ340" s="614">
        <v>1633</v>
      </c>
      <c r="DR340" s="614">
        <v>975</v>
      </c>
      <c r="DS340" s="615">
        <v>83</v>
      </c>
      <c r="DT340" s="607">
        <f t="shared" si="5"/>
        <v>22996</v>
      </c>
      <c r="DU340" s="342"/>
      <c r="EC340" s="646"/>
      <c r="EF340" s="126"/>
      <c r="EG340" s="124"/>
    </row>
    <row r="341" spans="1:137" ht="15">
      <c r="A341" s="22">
        <v>333</v>
      </c>
      <c r="B341" s="23" t="s">
        <v>809</v>
      </c>
      <c r="C341" s="24" t="s">
        <v>810</v>
      </c>
      <c r="D341" s="613"/>
      <c r="E341" s="628">
        <v>5077</v>
      </c>
      <c r="F341" s="628">
        <v>8182</v>
      </c>
      <c r="G341" s="628">
        <v>10958</v>
      </c>
      <c r="H341" s="628">
        <v>9277</v>
      </c>
      <c r="I341" s="628">
        <v>6929</v>
      </c>
      <c r="J341" s="628">
        <v>4108</v>
      </c>
      <c r="K341" s="628">
        <v>2223</v>
      </c>
      <c r="L341" s="628">
        <v>259</v>
      </c>
      <c r="M341" s="627">
        <v>47013</v>
      </c>
      <c r="N341" s="322"/>
      <c r="O341" s="323">
        <v>203</v>
      </c>
      <c r="P341" s="323">
        <v>161</v>
      </c>
      <c r="Q341" s="323">
        <v>210</v>
      </c>
      <c r="R341" s="323">
        <v>177</v>
      </c>
      <c r="S341" s="323">
        <v>120</v>
      </c>
      <c r="T341" s="323">
        <v>74</v>
      </c>
      <c r="U341" s="323">
        <v>28</v>
      </c>
      <c r="V341" s="323">
        <v>16</v>
      </c>
      <c r="W341" s="323">
        <v>989</v>
      </c>
      <c r="X341" s="331">
        <v>0</v>
      </c>
      <c r="Y341" s="330">
        <v>2</v>
      </c>
      <c r="Z341" s="330">
        <v>0</v>
      </c>
      <c r="AA341" s="330">
        <v>0</v>
      </c>
      <c r="AB341" s="330">
        <v>0</v>
      </c>
      <c r="AC341" s="330">
        <v>0</v>
      </c>
      <c r="AD341" s="330">
        <v>1</v>
      </c>
      <c r="AE341" s="330">
        <v>0</v>
      </c>
      <c r="AF341" s="330">
        <v>0</v>
      </c>
      <c r="AG341" s="328">
        <v>3</v>
      </c>
      <c r="AH341" s="331">
        <v>0</v>
      </c>
      <c r="AI341" s="184">
        <v>7</v>
      </c>
      <c r="AJ341" s="184">
        <v>37</v>
      </c>
      <c r="AK341" s="184">
        <v>50</v>
      </c>
      <c r="AL341" s="184">
        <v>80</v>
      </c>
      <c r="AM341" s="184">
        <v>52</v>
      </c>
      <c r="AN341" s="184">
        <v>37</v>
      </c>
      <c r="AO341" s="184">
        <v>29</v>
      </c>
      <c r="AP341" s="184">
        <v>23</v>
      </c>
      <c r="AQ341" s="336">
        <v>315</v>
      </c>
      <c r="AR341" s="323">
        <v>3</v>
      </c>
      <c r="AS341" s="323">
        <v>2890</v>
      </c>
      <c r="AT341" s="323">
        <v>3323</v>
      </c>
      <c r="AU341" s="323">
        <v>3290</v>
      </c>
      <c r="AV341" s="323">
        <v>2554</v>
      </c>
      <c r="AW341" s="323">
        <v>1540</v>
      </c>
      <c r="AX341" s="323">
        <v>715</v>
      </c>
      <c r="AY341" s="323">
        <v>327</v>
      </c>
      <c r="AZ341" s="323">
        <v>30</v>
      </c>
      <c r="BA341" s="323">
        <v>14672</v>
      </c>
      <c r="BB341" s="331">
        <v>0</v>
      </c>
      <c r="BC341" s="330">
        <v>16</v>
      </c>
      <c r="BD341" s="330">
        <v>58</v>
      </c>
      <c r="BE341" s="330">
        <v>72</v>
      </c>
      <c r="BF341" s="330">
        <v>41</v>
      </c>
      <c r="BG341" s="330">
        <v>45</v>
      </c>
      <c r="BH341" s="330">
        <v>20</v>
      </c>
      <c r="BI341" s="330">
        <v>8</v>
      </c>
      <c r="BJ341" s="330">
        <v>1</v>
      </c>
      <c r="BK341" s="328">
        <v>261</v>
      </c>
      <c r="BL341" s="323">
        <v>0</v>
      </c>
      <c r="BM341" s="323">
        <v>0</v>
      </c>
      <c r="BN341" s="323">
        <v>3</v>
      </c>
      <c r="BO341" s="323">
        <v>6</v>
      </c>
      <c r="BP341" s="323">
        <v>8</v>
      </c>
      <c r="BQ341" s="323">
        <v>8</v>
      </c>
      <c r="BR341" s="323">
        <v>10</v>
      </c>
      <c r="BS341" s="323">
        <v>28</v>
      </c>
      <c r="BT341" s="323">
        <v>5</v>
      </c>
      <c r="BU341" s="323">
        <v>68</v>
      </c>
      <c r="BV341" s="331">
        <v>0</v>
      </c>
      <c r="BW341" s="330">
        <v>349</v>
      </c>
      <c r="BX341" s="330">
        <v>346</v>
      </c>
      <c r="BY341" s="330">
        <v>571</v>
      </c>
      <c r="BZ341" s="330">
        <v>517</v>
      </c>
      <c r="CA341" s="330">
        <v>359</v>
      </c>
      <c r="CB341" s="330">
        <v>186</v>
      </c>
      <c r="CC341" s="330">
        <v>134</v>
      </c>
      <c r="CD341" s="330">
        <v>29</v>
      </c>
      <c r="CE341" s="328">
        <v>2491</v>
      </c>
      <c r="CF341" s="323">
        <v>0</v>
      </c>
      <c r="CG341" s="323">
        <v>0</v>
      </c>
      <c r="CH341" s="323">
        <v>0</v>
      </c>
      <c r="CI341" s="323">
        <v>0</v>
      </c>
      <c r="CJ341" s="323">
        <v>0</v>
      </c>
      <c r="CK341" s="323">
        <v>0</v>
      </c>
      <c r="CL341" s="323">
        <v>0</v>
      </c>
      <c r="CM341" s="323">
        <v>0</v>
      </c>
      <c r="CN341" s="323">
        <v>0</v>
      </c>
      <c r="CO341" s="323">
        <v>0</v>
      </c>
      <c r="CP341" s="331">
        <v>0</v>
      </c>
      <c r="CQ341" s="330">
        <v>71</v>
      </c>
      <c r="CR341" s="330">
        <v>87</v>
      </c>
      <c r="CS341" s="330">
        <v>109</v>
      </c>
      <c r="CT341" s="330">
        <v>92</v>
      </c>
      <c r="CU341" s="330">
        <v>51</v>
      </c>
      <c r="CV341" s="330">
        <v>34</v>
      </c>
      <c r="CW341" s="330">
        <v>16</v>
      </c>
      <c r="CX341" s="330">
        <v>5</v>
      </c>
      <c r="CY341" s="328">
        <v>465</v>
      </c>
      <c r="CZ341" s="323">
        <v>0</v>
      </c>
      <c r="DA341" s="323">
        <v>0</v>
      </c>
      <c r="DB341" s="323">
        <v>0</v>
      </c>
      <c r="DC341" s="323">
        <v>0</v>
      </c>
      <c r="DD341" s="323">
        <v>0</v>
      </c>
      <c r="DE341" s="323">
        <v>0</v>
      </c>
      <c r="DF341" s="323">
        <v>0</v>
      </c>
      <c r="DG341" s="323">
        <v>0</v>
      </c>
      <c r="DH341" s="323">
        <v>0</v>
      </c>
      <c r="DI341" s="323">
        <v>0</v>
      </c>
      <c r="DJ341" s="337">
        <v>0</v>
      </c>
      <c r="DK341" s="644">
        <v>41630.4</v>
      </c>
      <c r="DL341" s="614">
        <v>5127</v>
      </c>
      <c r="DM341" s="614">
        <v>8217</v>
      </c>
      <c r="DN341" s="614">
        <v>11047</v>
      </c>
      <c r="DO341" s="614">
        <v>9397</v>
      </c>
      <c r="DP341" s="614">
        <v>7044</v>
      </c>
      <c r="DQ341" s="614">
        <v>4120</v>
      </c>
      <c r="DR341" s="614">
        <v>2233</v>
      </c>
      <c r="DS341" s="615">
        <v>259</v>
      </c>
      <c r="DT341" s="607">
        <f t="shared" si="5"/>
        <v>47444</v>
      </c>
      <c r="DU341" s="342"/>
      <c r="EC341" s="646"/>
      <c r="EF341" s="126"/>
      <c r="EG341" s="124"/>
    </row>
    <row r="342" spans="1:137" ht="15">
      <c r="A342" s="22">
        <v>334</v>
      </c>
      <c r="B342" s="23" t="s">
        <v>811</v>
      </c>
      <c r="C342" s="24" t="s">
        <v>812</v>
      </c>
      <c r="D342" s="613"/>
      <c r="E342" s="628">
        <v>14284</v>
      </c>
      <c r="F342" s="628">
        <v>8456</v>
      </c>
      <c r="G342" s="628">
        <v>9290</v>
      </c>
      <c r="H342" s="628">
        <v>6518</v>
      </c>
      <c r="I342" s="628">
        <v>4560</v>
      </c>
      <c r="J342" s="628">
        <v>2390</v>
      </c>
      <c r="K342" s="628">
        <v>1494</v>
      </c>
      <c r="L342" s="628">
        <v>74</v>
      </c>
      <c r="M342" s="627">
        <v>47066</v>
      </c>
      <c r="N342" s="322"/>
      <c r="O342" s="323">
        <v>381</v>
      </c>
      <c r="P342" s="323">
        <v>305</v>
      </c>
      <c r="Q342" s="323">
        <v>278</v>
      </c>
      <c r="R342" s="323">
        <v>121</v>
      </c>
      <c r="S342" s="323">
        <v>74</v>
      </c>
      <c r="T342" s="323">
        <v>25</v>
      </c>
      <c r="U342" s="323">
        <v>37</v>
      </c>
      <c r="V342" s="323">
        <v>0</v>
      </c>
      <c r="W342" s="323">
        <v>1221</v>
      </c>
      <c r="X342" s="329" t="s">
        <v>934</v>
      </c>
      <c r="Y342" s="330">
        <v>14</v>
      </c>
      <c r="Z342" s="330">
        <v>0</v>
      </c>
      <c r="AA342" s="330">
        <v>4</v>
      </c>
      <c r="AB342" s="330">
        <v>2</v>
      </c>
      <c r="AC342" s="330">
        <v>0</v>
      </c>
      <c r="AD342" s="330">
        <v>1</v>
      </c>
      <c r="AE342" s="330">
        <v>0</v>
      </c>
      <c r="AF342" s="330">
        <v>0</v>
      </c>
      <c r="AG342" s="328">
        <v>21</v>
      </c>
      <c r="AH342" s="329" t="s">
        <v>934</v>
      </c>
      <c r="AI342" s="184">
        <v>56</v>
      </c>
      <c r="AJ342" s="184">
        <v>81</v>
      </c>
      <c r="AK342" s="184">
        <v>84</v>
      </c>
      <c r="AL342" s="184">
        <v>69</v>
      </c>
      <c r="AM342" s="184">
        <v>67</v>
      </c>
      <c r="AN342" s="184">
        <v>41</v>
      </c>
      <c r="AO342" s="184">
        <v>32</v>
      </c>
      <c r="AP342" s="184">
        <v>13</v>
      </c>
      <c r="AQ342" s="336">
        <v>443</v>
      </c>
      <c r="AR342" s="323">
        <v>12</v>
      </c>
      <c r="AS342" s="323">
        <v>6301</v>
      </c>
      <c r="AT342" s="323">
        <v>2846</v>
      </c>
      <c r="AU342" s="323">
        <v>2511</v>
      </c>
      <c r="AV342" s="323">
        <v>1337</v>
      </c>
      <c r="AW342" s="323">
        <v>673</v>
      </c>
      <c r="AX342" s="323">
        <v>319</v>
      </c>
      <c r="AY342" s="323">
        <v>155</v>
      </c>
      <c r="AZ342" s="323">
        <v>9</v>
      </c>
      <c r="BA342" s="323">
        <v>14163</v>
      </c>
      <c r="BB342" s="331">
        <v>1</v>
      </c>
      <c r="BC342" s="330">
        <v>108</v>
      </c>
      <c r="BD342" s="330">
        <v>88</v>
      </c>
      <c r="BE342" s="330">
        <v>97</v>
      </c>
      <c r="BF342" s="330">
        <v>51</v>
      </c>
      <c r="BG342" s="330">
        <v>30</v>
      </c>
      <c r="BH342" s="330">
        <v>13</v>
      </c>
      <c r="BI342" s="330">
        <v>12</v>
      </c>
      <c r="BJ342" s="330">
        <v>0</v>
      </c>
      <c r="BK342" s="328">
        <v>400</v>
      </c>
      <c r="BL342" s="323">
        <v>0</v>
      </c>
      <c r="BM342" s="323">
        <v>8</v>
      </c>
      <c r="BN342" s="323">
        <v>4</v>
      </c>
      <c r="BO342" s="323">
        <v>6</v>
      </c>
      <c r="BP342" s="323">
        <v>8</v>
      </c>
      <c r="BQ342" s="323">
        <v>9</v>
      </c>
      <c r="BR342" s="323">
        <v>5</v>
      </c>
      <c r="BS342" s="323">
        <v>15</v>
      </c>
      <c r="BT342" s="323">
        <v>14</v>
      </c>
      <c r="BU342" s="323">
        <v>69</v>
      </c>
      <c r="BV342" s="329" t="s">
        <v>934</v>
      </c>
      <c r="BW342" s="330">
        <v>7</v>
      </c>
      <c r="BX342" s="330">
        <v>12</v>
      </c>
      <c r="BY342" s="330">
        <v>10</v>
      </c>
      <c r="BZ342" s="330">
        <v>5</v>
      </c>
      <c r="CA342" s="330">
        <v>10</v>
      </c>
      <c r="CB342" s="330">
        <v>6</v>
      </c>
      <c r="CC342" s="330">
        <v>7</v>
      </c>
      <c r="CD342" s="330">
        <v>0</v>
      </c>
      <c r="CE342" s="328">
        <v>57</v>
      </c>
      <c r="CF342" s="322" t="s">
        <v>934</v>
      </c>
      <c r="CG342" s="323">
        <v>253</v>
      </c>
      <c r="CH342" s="323">
        <v>142</v>
      </c>
      <c r="CI342" s="323">
        <v>142</v>
      </c>
      <c r="CJ342" s="323">
        <v>95</v>
      </c>
      <c r="CK342" s="323">
        <v>66</v>
      </c>
      <c r="CL342" s="323">
        <v>42</v>
      </c>
      <c r="CM342" s="323">
        <v>25</v>
      </c>
      <c r="CN342" s="323">
        <v>3</v>
      </c>
      <c r="CO342" s="323">
        <v>768</v>
      </c>
      <c r="CP342" s="329" t="s">
        <v>934</v>
      </c>
      <c r="CQ342" s="330">
        <v>0</v>
      </c>
      <c r="CR342" s="330">
        <v>0</v>
      </c>
      <c r="CS342" s="330">
        <v>0</v>
      </c>
      <c r="CT342" s="330">
        <v>0</v>
      </c>
      <c r="CU342" s="330">
        <v>0</v>
      </c>
      <c r="CV342" s="330">
        <v>0</v>
      </c>
      <c r="CW342" s="330">
        <v>0</v>
      </c>
      <c r="CX342" s="330">
        <v>0</v>
      </c>
      <c r="CY342" s="328">
        <v>0</v>
      </c>
      <c r="CZ342" s="322" t="s">
        <v>934</v>
      </c>
      <c r="DA342" s="323">
        <v>7</v>
      </c>
      <c r="DB342" s="323">
        <v>12</v>
      </c>
      <c r="DC342" s="323">
        <v>10</v>
      </c>
      <c r="DD342" s="323">
        <v>5</v>
      </c>
      <c r="DE342" s="323">
        <v>10</v>
      </c>
      <c r="DF342" s="323">
        <v>6</v>
      </c>
      <c r="DG342" s="323">
        <v>7</v>
      </c>
      <c r="DH342" s="323">
        <v>0</v>
      </c>
      <c r="DI342" s="323">
        <v>57</v>
      </c>
      <c r="DJ342" s="337">
        <v>0</v>
      </c>
      <c r="DK342" s="644">
        <v>38004</v>
      </c>
      <c r="DL342" s="614">
        <v>14305</v>
      </c>
      <c r="DM342" s="614">
        <v>8496</v>
      </c>
      <c r="DN342" s="614">
        <v>9338</v>
      </c>
      <c r="DO342" s="614">
        <v>6533</v>
      </c>
      <c r="DP342" s="614">
        <v>4560</v>
      </c>
      <c r="DQ342" s="614">
        <v>2403</v>
      </c>
      <c r="DR342" s="614">
        <v>1496</v>
      </c>
      <c r="DS342" s="615">
        <v>75</v>
      </c>
      <c r="DT342" s="607">
        <f t="shared" si="5"/>
        <v>47206</v>
      </c>
      <c r="DU342" s="342"/>
      <c r="EC342" s="646"/>
      <c r="EF342" s="126"/>
      <c r="EG342" s="124"/>
    </row>
    <row r="343" spans="1:137" ht="15">
      <c r="A343" s="22">
        <v>335</v>
      </c>
      <c r="B343" s="23" t="s">
        <v>813</v>
      </c>
      <c r="C343" s="24" t="s">
        <v>814</v>
      </c>
      <c r="D343" s="613"/>
      <c r="E343" s="630">
        <v>14372</v>
      </c>
      <c r="F343" s="630">
        <v>7248</v>
      </c>
      <c r="G343" s="630">
        <v>6868</v>
      </c>
      <c r="H343" s="630">
        <v>5101</v>
      </c>
      <c r="I343" s="630">
        <v>3049</v>
      </c>
      <c r="J343" s="630">
        <v>1254</v>
      </c>
      <c r="K343" s="630">
        <v>488</v>
      </c>
      <c r="L343" s="630">
        <v>56</v>
      </c>
      <c r="M343" s="627">
        <v>38436</v>
      </c>
      <c r="N343" s="322"/>
      <c r="O343" s="323">
        <v>683</v>
      </c>
      <c r="P343" s="323">
        <v>233</v>
      </c>
      <c r="Q343" s="323">
        <v>194</v>
      </c>
      <c r="R343" s="323">
        <v>82</v>
      </c>
      <c r="S343" s="323">
        <v>43</v>
      </c>
      <c r="T343" s="323">
        <v>22</v>
      </c>
      <c r="U343" s="323">
        <v>10</v>
      </c>
      <c r="V343" s="323">
        <v>11</v>
      </c>
      <c r="W343" s="323">
        <v>1278</v>
      </c>
      <c r="X343" s="329" t="s">
        <v>934</v>
      </c>
      <c r="Y343" s="330">
        <v>0</v>
      </c>
      <c r="Z343" s="330">
        <v>0</v>
      </c>
      <c r="AA343" s="330">
        <v>0</v>
      </c>
      <c r="AB343" s="330">
        <v>0</v>
      </c>
      <c r="AC343" s="330">
        <v>0</v>
      </c>
      <c r="AD343" s="330">
        <v>0</v>
      </c>
      <c r="AE343" s="330">
        <v>0</v>
      </c>
      <c r="AF343" s="330">
        <v>0</v>
      </c>
      <c r="AG343" s="328">
        <v>0</v>
      </c>
      <c r="AH343" s="329" t="s">
        <v>934</v>
      </c>
      <c r="AI343" s="184">
        <v>35</v>
      </c>
      <c r="AJ343" s="184">
        <v>40</v>
      </c>
      <c r="AK343" s="184">
        <v>50</v>
      </c>
      <c r="AL343" s="184">
        <v>35</v>
      </c>
      <c r="AM343" s="184">
        <v>31</v>
      </c>
      <c r="AN343" s="184">
        <v>12</v>
      </c>
      <c r="AO343" s="184">
        <v>14</v>
      </c>
      <c r="AP343" s="184">
        <v>11</v>
      </c>
      <c r="AQ343" s="336">
        <v>228</v>
      </c>
      <c r="AR343" s="323">
        <v>3</v>
      </c>
      <c r="AS343" s="323">
        <v>5694</v>
      </c>
      <c r="AT343" s="323">
        <v>2072</v>
      </c>
      <c r="AU343" s="323">
        <v>1584</v>
      </c>
      <c r="AV343" s="323">
        <v>845</v>
      </c>
      <c r="AW343" s="323">
        <v>315</v>
      </c>
      <c r="AX343" s="323">
        <v>149</v>
      </c>
      <c r="AY343" s="323">
        <v>50</v>
      </c>
      <c r="AZ343" s="323">
        <v>3</v>
      </c>
      <c r="BA343" s="323">
        <v>10715</v>
      </c>
      <c r="BB343" s="331">
        <v>2</v>
      </c>
      <c r="BC343" s="330">
        <v>120</v>
      </c>
      <c r="BD343" s="330">
        <v>57</v>
      </c>
      <c r="BE343" s="330">
        <v>65</v>
      </c>
      <c r="BF343" s="330">
        <v>52</v>
      </c>
      <c r="BG343" s="330">
        <v>25</v>
      </c>
      <c r="BH343" s="330">
        <v>17</v>
      </c>
      <c r="BI343" s="330">
        <v>2</v>
      </c>
      <c r="BJ343" s="330">
        <v>0</v>
      </c>
      <c r="BK343" s="328">
        <v>340</v>
      </c>
      <c r="BL343" s="323">
        <v>0</v>
      </c>
      <c r="BM343" s="323">
        <v>1</v>
      </c>
      <c r="BN343" s="323">
        <v>2</v>
      </c>
      <c r="BO343" s="323">
        <v>2</v>
      </c>
      <c r="BP343" s="323">
        <v>0</v>
      </c>
      <c r="BQ343" s="323">
        <v>1</v>
      </c>
      <c r="BR343" s="323">
        <v>13</v>
      </c>
      <c r="BS343" s="323">
        <v>13</v>
      </c>
      <c r="BT343" s="323">
        <v>3</v>
      </c>
      <c r="BU343" s="323">
        <v>35</v>
      </c>
      <c r="BV343" s="329" t="s">
        <v>934</v>
      </c>
      <c r="BW343" s="330">
        <v>47</v>
      </c>
      <c r="BX343" s="330">
        <v>28</v>
      </c>
      <c r="BY343" s="330">
        <v>16</v>
      </c>
      <c r="BZ343" s="330">
        <v>16</v>
      </c>
      <c r="CA343" s="330">
        <v>5</v>
      </c>
      <c r="CB343" s="330">
        <v>4</v>
      </c>
      <c r="CC343" s="330">
        <v>4</v>
      </c>
      <c r="CD343" s="330">
        <v>1</v>
      </c>
      <c r="CE343" s="328">
        <v>121</v>
      </c>
      <c r="CF343" s="322" t="s">
        <v>934</v>
      </c>
      <c r="CG343" s="323">
        <v>493</v>
      </c>
      <c r="CH343" s="323">
        <v>158</v>
      </c>
      <c r="CI343" s="323">
        <v>115</v>
      </c>
      <c r="CJ343" s="323">
        <v>75</v>
      </c>
      <c r="CK343" s="323">
        <v>51</v>
      </c>
      <c r="CL343" s="323">
        <v>25</v>
      </c>
      <c r="CM343" s="323">
        <v>9</v>
      </c>
      <c r="CN343" s="323">
        <v>2</v>
      </c>
      <c r="CO343" s="323">
        <v>928</v>
      </c>
      <c r="CP343" s="329" t="s">
        <v>934</v>
      </c>
      <c r="CQ343" s="330">
        <v>0</v>
      </c>
      <c r="CR343" s="330">
        <v>0</v>
      </c>
      <c r="CS343" s="330">
        <v>0</v>
      </c>
      <c r="CT343" s="330">
        <v>0</v>
      </c>
      <c r="CU343" s="330">
        <v>0</v>
      </c>
      <c r="CV343" s="330">
        <v>0</v>
      </c>
      <c r="CW343" s="330">
        <v>0</v>
      </c>
      <c r="CX343" s="330">
        <v>0</v>
      </c>
      <c r="CY343" s="328">
        <v>0</v>
      </c>
      <c r="CZ343" s="322" t="s">
        <v>934</v>
      </c>
      <c r="DA343" s="323">
        <v>0</v>
      </c>
      <c r="DB343" s="323">
        <v>0</v>
      </c>
      <c r="DC343" s="323">
        <v>0</v>
      </c>
      <c r="DD343" s="323">
        <v>0</v>
      </c>
      <c r="DE343" s="323">
        <v>0</v>
      </c>
      <c r="DF343" s="323">
        <v>0</v>
      </c>
      <c r="DG343" s="323">
        <v>0</v>
      </c>
      <c r="DH343" s="323">
        <v>0</v>
      </c>
      <c r="DI343" s="323">
        <v>0</v>
      </c>
      <c r="DJ343" s="337">
        <v>0</v>
      </c>
      <c r="DK343" s="644">
        <v>29386.4</v>
      </c>
      <c r="DL343" s="614">
        <v>14551</v>
      </c>
      <c r="DM343" s="614">
        <v>7391</v>
      </c>
      <c r="DN343" s="614">
        <v>7025</v>
      </c>
      <c r="DO343" s="614">
        <v>5213</v>
      </c>
      <c r="DP343" s="614">
        <v>3164</v>
      </c>
      <c r="DQ343" s="614">
        <v>1265</v>
      </c>
      <c r="DR343" s="614">
        <v>494</v>
      </c>
      <c r="DS343" s="615">
        <v>56</v>
      </c>
      <c r="DT343" s="607">
        <f t="shared" si="5"/>
        <v>39159</v>
      </c>
      <c r="DU343" s="342"/>
      <c r="EC343" s="646"/>
      <c r="EF343" s="127"/>
      <c r="EG343" s="124"/>
    </row>
    <row r="344" spans="1:137" ht="15">
      <c r="A344" s="22">
        <v>336</v>
      </c>
      <c r="B344" s="23" t="s">
        <v>815</v>
      </c>
      <c r="C344" s="24" t="s">
        <v>816</v>
      </c>
      <c r="D344" s="613"/>
      <c r="E344" s="628">
        <v>1447</v>
      </c>
      <c r="F344" s="628">
        <v>4764</v>
      </c>
      <c r="G344" s="628">
        <v>14683</v>
      </c>
      <c r="H344" s="628">
        <v>9465</v>
      </c>
      <c r="I344" s="628">
        <v>6642</v>
      </c>
      <c r="J344" s="628">
        <v>3543</v>
      </c>
      <c r="K344" s="628">
        <v>2296</v>
      </c>
      <c r="L344" s="628">
        <v>326</v>
      </c>
      <c r="M344" s="627">
        <v>43166</v>
      </c>
      <c r="N344" s="322"/>
      <c r="O344" s="323">
        <v>247</v>
      </c>
      <c r="P344" s="323">
        <v>1069</v>
      </c>
      <c r="Q344" s="323">
        <v>363</v>
      </c>
      <c r="R344" s="323">
        <v>303</v>
      </c>
      <c r="S344" s="323">
        <v>129</v>
      </c>
      <c r="T344" s="323">
        <v>38</v>
      </c>
      <c r="U344" s="323">
        <v>53</v>
      </c>
      <c r="V344" s="323">
        <v>14</v>
      </c>
      <c r="W344" s="323">
        <v>2216</v>
      </c>
      <c r="X344" s="329" t="s">
        <v>934</v>
      </c>
      <c r="Y344" s="330">
        <v>0</v>
      </c>
      <c r="Z344" s="330">
        <v>0</v>
      </c>
      <c r="AA344" s="330">
        <v>0</v>
      </c>
      <c r="AB344" s="330">
        <v>0</v>
      </c>
      <c r="AC344" s="330">
        <v>0</v>
      </c>
      <c r="AD344" s="330">
        <v>0</v>
      </c>
      <c r="AE344" s="330">
        <v>0</v>
      </c>
      <c r="AF344" s="330">
        <v>0</v>
      </c>
      <c r="AG344" s="328">
        <v>0</v>
      </c>
      <c r="AH344" s="329" t="s">
        <v>934</v>
      </c>
      <c r="AI344" s="184">
        <v>3</v>
      </c>
      <c r="AJ344" s="184">
        <v>17</v>
      </c>
      <c r="AK344" s="184">
        <v>92</v>
      </c>
      <c r="AL344" s="184">
        <v>58</v>
      </c>
      <c r="AM344" s="184">
        <v>56</v>
      </c>
      <c r="AN344" s="184">
        <v>26</v>
      </c>
      <c r="AO344" s="184">
        <v>21</v>
      </c>
      <c r="AP344" s="184">
        <v>12</v>
      </c>
      <c r="AQ344" s="336">
        <v>285</v>
      </c>
      <c r="AR344" s="323">
        <v>2</v>
      </c>
      <c r="AS344" s="323">
        <v>660</v>
      </c>
      <c r="AT344" s="323">
        <v>1943</v>
      </c>
      <c r="AU344" s="323">
        <v>4413</v>
      </c>
      <c r="AV344" s="323">
        <v>2273</v>
      </c>
      <c r="AW344" s="323">
        <v>1277</v>
      </c>
      <c r="AX344" s="323">
        <v>504</v>
      </c>
      <c r="AY344" s="323">
        <v>255</v>
      </c>
      <c r="AZ344" s="323">
        <v>43</v>
      </c>
      <c r="BA344" s="323">
        <v>11370</v>
      </c>
      <c r="BB344" s="331">
        <v>0</v>
      </c>
      <c r="BC344" s="330">
        <v>4</v>
      </c>
      <c r="BD344" s="330">
        <v>23</v>
      </c>
      <c r="BE344" s="330">
        <v>100</v>
      </c>
      <c r="BF344" s="330">
        <v>59</v>
      </c>
      <c r="BG344" s="330">
        <v>40</v>
      </c>
      <c r="BH344" s="330">
        <v>15</v>
      </c>
      <c r="BI344" s="330">
        <v>6</v>
      </c>
      <c r="BJ344" s="330">
        <v>2</v>
      </c>
      <c r="BK344" s="328">
        <v>249</v>
      </c>
      <c r="BL344" s="323">
        <v>0</v>
      </c>
      <c r="BM344" s="323">
        <v>0</v>
      </c>
      <c r="BN344" s="323">
        <v>1</v>
      </c>
      <c r="BO344" s="323">
        <v>4</v>
      </c>
      <c r="BP344" s="323">
        <v>1</v>
      </c>
      <c r="BQ344" s="323">
        <v>2</v>
      </c>
      <c r="BR344" s="323">
        <v>8</v>
      </c>
      <c r="BS344" s="323">
        <v>11</v>
      </c>
      <c r="BT344" s="323">
        <v>5</v>
      </c>
      <c r="BU344" s="323">
        <v>32</v>
      </c>
      <c r="BV344" s="329" t="s">
        <v>934</v>
      </c>
      <c r="BW344" s="330">
        <v>26</v>
      </c>
      <c r="BX344" s="330">
        <v>52</v>
      </c>
      <c r="BY344" s="330">
        <v>97</v>
      </c>
      <c r="BZ344" s="330">
        <v>147</v>
      </c>
      <c r="CA344" s="330">
        <v>150</v>
      </c>
      <c r="CB344" s="330">
        <v>83</v>
      </c>
      <c r="CC344" s="330">
        <v>117</v>
      </c>
      <c r="CD344" s="330">
        <v>26</v>
      </c>
      <c r="CE344" s="328">
        <v>698</v>
      </c>
      <c r="CF344" s="322" t="s">
        <v>934</v>
      </c>
      <c r="CG344" s="323">
        <v>0</v>
      </c>
      <c r="CH344" s="323">
        <v>1</v>
      </c>
      <c r="CI344" s="323">
        <v>0</v>
      </c>
      <c r="CJ344" s="323">
        <v>0</v>
      </c>
      <c r="CK344" s="323">
        <v>0</v>
      </c>
      <c r="CL344" s="323">
        <v>0</v>
      </c>
      <c r="CM344" s="323">
        <v>0</v>
      </c>
      <c r="CN344" s="323">
        <v>0</v>
      </c>
      <c r="CO344" s="323">
        <v>1</v>
      </c>
      <c r="CP344" s="329" t="s">
        <v>934</v>
      </c>
      <c r="CQ344" s="330">
        <v>18</v>
      </c>
      <c r="CR344" s="330">
        <v>20</v>
      </c>
      <c r="CS344" s="330">
        <v>27</v>
      </c>
      <c r="CT344" s="330">
        <v>18</v>
      </c>
      <c r="CU344" s="330">
        <v>19</v>
      </c>
      <c r="CV344" s="330">
        <v>8</v>
      </c>
      <c r="CW344" s="330">
        <v>9</v>
      </c>
      <c r="CX344" s="330">
        <v>3</v>
      </c>
      <c r="CY344" s="328">
        <v>122</v>
      </c>
      <c r="CZ344" s="322" t="s">
        <v>934</v>
      </c>
      <c r="DA344" s="323">
        <v>0</v>
      </c>
      <c r="DB344" s="323">
        <v>0</v>
      </c>
      <c r="DC344" s="323">
        <v>0</v>
      </c>
      <c r="DD344" s="323">
        <v>0</v>
      </c>
      <c r="DE344" s="323">
        <v>0</v>
      </c>
      <c r="DF344" s="323">
        <v>0</v>
      </c>
      <c r="DG344" s="323">
        <v>0</v>
      </c>
      <c r="DH344" s="323">
        <v>0</v>
      </c>
      <c r="DI344" s="323">
        <v>0</v>
      </c>
      <c r="DJ344" s="337">
        <v>1048.3</v>
      </c>
      <c r="DK344" s="644">
        <v>40696.9</v>
      </c>
      <c r="DL344" s="614">
        <v>1554</v>
      </c>
      <c r="DM344" s="614">
        <v>4865</v>
      </c>
      <c r="DN344" s="614">
        <v>15065</v>
      </c>
      <c r="DO344" s="614">
        <v>9668</v>
      </c>
      <c r="DP344" s="614">
        <v>6713</v>
      </c>
      <c r="DQ344" s="614">
        <v>3588</v>
      </c>
      <c r="DR344" s="614">
        <v>2337</v>
      </c>
      <c r="DS344" s="615">
        <v>329</v>
      </c>
      <c r="DT344" s="607">
        <f t="shared" si="5"/>
        <v>44119</v>
      </c>
      <c r="DU344" s="342"/>
      <c r="EC344" s="646"/>
      <c r="EF344" s="126"/>
      <c r="EG344" s="124"/>
    </row>
    <row r="345" spans="1:137" ht="15">
      <c r="A345" s="22">
        <v>337</v>
      </c>
      <c r="B345" s="23" t="s">
        <v>817</v>
      </c>
      <c r="C345" s="24" t="s">
        <v>818</v>
      </c>
      <c r="D345" s="613"/>
      <c r="E345" s="628">
        <v>2686</v>
      </c>
      <c r="F345" s="628">
        <v>3710</v>
      </c>
      <c r="G345" s="628">
        <v>3646</v>
      </c>
      <c r="H345" s="628">
        <v>3312</v>
      </c>
      <c r="I345" s="628">
        <v>1762</v>
      </c>
      <c r="J345" s="628">
        <v>1252</v>
      </c>
      <c r="K345" s="628">
        <v>658</v>
      </c>
      <c r="L345" s="628">
        <v>37</v>
      </c>
      <c r="M345" s="627">
        <v>17063</v>
      </c>
      <c r="N345" s="322"/>
      <c r="O345" s="323">
        <v>93</v>
      </c>
      <c r="P345" s="323">
        <v>59</v>
      </c>
      <c r="Q345" s="323">
        <v>73</v>
      </c>
      <c r="R345" s="323">
        <v>67</v>
      </c>
      <c r="S345" s="323">
        <v>29</v>
      </c>
      <c r="T345" s="323">
        <v>16</v>
      </c>
      <c r="U345" s="323">
        <v>7</v>
      </c>
      <c r="V345" s="323">
        <v>0</v>
      </c>
      <c r="W345" s="323">
        <v>344</v>
      </c>
      <c r="X345" s="329" t="s">
        <v>934</v>
      </c>
      <c r="Y345" s="330">
        <v>0</v>
      </c>
      <c r="Z345" s="330">
        <v>0</v>
      </c>
      <c r="AA345" s="330">
        <v>0</v>
      </c>
      <c r="AB345" s="330">
        <v>0</v>
      </c>
      <c r="AC345" s="330">
        <v>0</v>
      </c>
      <c r="AD345" s="330">
        <v>0</v>
      </c>
      <c r="AE345" s="330">
        <v>0</v>
      </c>
      <c r="AF345" s="330">
        <v>0</v>
      </c>
      <c r="AG345" s="328">
        <v>0</v>
      </c>
      <c r="AH345" s="329" t="s">
        <v>934</v>
      </c>
      <c r="AI345" s="184">
        <v>4</v>
      </c>
      <c r="AJ345" s="184">
        <v>23</v>
      </c>
      <c r="AK345" s="184">
        <v>26</v>
      </c>
      <c r="AL345" s="184">
        <v>21</v>
      </c>
      <c r="AM345" s="184">
        <v>17</v>
      </c>
      <c r="AN345" s="184">
        <v>8</v>
      </c>
      <c r="AO345" s="184">
        <v>14</v>
      </c>
      <c r="AP345" s="184">
        <v>0</v>
      </c>
      <c r="AQ345" s="336">
        <v>113</v>
      </c>
      <c r="AR345" s="323">
        <v>2</v>
      </c>
      <c r="AS345" s="323">
        <v>1214</v>
      </c>
      <c r="AT345" s="323">
        <v>1339</v>
      </c>
      <c r="AU345" s="323">
        <v>1187</v>
      </c>
      <c r="AV345" s="323">
        <v>915</v>
      </c>
      <c r="AW345" s="323">
        <v>389</v>
      </c>
      <c r="AX345" s="323">
        <v>232</v>
      </c>
      <c r="AY345" s="323">
        <v>106</v>
      </c>
      <c r="AZ345" s="323">
        <v>6</v>
      </c>
      <c r="BA345" s="323">
        <v>5390</v>
      </c>
      <c r="BB345" s="331">
        <v>0</v>
      </c>
      <c r="BC345" s="330">
        <v>7</v>
      </c>
      <c r="BD345" s="330">
        <v>7</v>
      </c>
      <c r="BE345" s="330">
        <v>9</v>
      </c>
      <c r="BF345" s="330">
        <v>8</v>
      </c>
      <c r="BG345" s="330">
        <v>5</v>
      </c>
      <c r="BH345" s="330">
        <v>4</v>
      </c>
      <c r="BI345" s="330">
        <v>0</v>
      </c>
      <c r="BJ345" s="330">
        <v>0</v>
      </c>
      <c r="BK345" s="328">
        <v>40</v>
      </c>
      <c r="BL345" s="323">
        <v>0</v>
      </c>
      <c r="BM345" s="323">
        <v>0</v>
      </c>
      <c r="BN345" s="323">
        <v>2</v>
      </c>
      <c r="BO345" s="323">
        <v>1</v>
      </c>
      <c r="BP345" s="323">
        <v>4</v>
      </c>
      <c r="BQ345" s="323">
        <v>5</v>
      </c>
      <c r="BR345" s="323">
        <v>15</v>
      </c>
      <c r="BS345" s="323">
        <v>2</v>
      </c>
      <c r="BT345" s="323">
        <v>1</v>
      </c>
      <c r="BU345" s="323">
        <v>30</v>
      </c>
      <c r="BV345" s="329" t="s">
        <v>934</v>
      </c>
      <c r="BW345" s="330">
        <v>328</v>
      </c>
      <c r="BX345" s="330">
        <v>130</v>
      </c>
      <c r="BY345" s="330">
        <v>178</v>
      </c>
      <c r="BZ345" s="330">
        <v>173</v>
      </c>
      <c r="CA345" s="330">
        <v>71</v>
      </c>
      <c r="CB345" s="330">
        <v>49</v>
      </c>
      <c r="CC345" s="330">
        <v>39</v>
      </c>
      <c r="CD345" s="330">
        <v>4</v>
      </c>
      <c r="CE345" s="328">
        <v>972</v>
      </c>
      <c r="CF345" s="322" t="s">
        <v>934</v>
      </c>
      <c r="CG345" s="323">
        <v>0</v>
      </c>
      <c r="CH345" s="323">
        <v>0</v>
      </c>
      <c r="CI345" s="323">
        <v>0</v>
      </c>
      <c r="CJ345" s="323">
        <v>0</v>
      </c>
      <c r="CK345" s="323">
        <v>0</v>
      </c>
      <c r="CL345" s="323">
        <v>0</v>
      </c>
      <c r="CM345" s="323">
        <v>0</v>
      </c>
      <c r="CN345" s="323">
        <v>0</v>
      </c>
      <c r="CO345" s="323">
        <v>0</v>
      </c>
      <c r="CP345" s="329" t="s">
        <v>934</v>
      </c>
      <c r="CQ345" s="330">
        <v>53</v>
      </c>
      <c r="CR345" s="330">
        <v>59</v>
      </c>
      <c r="CS345" s="330">
        <v>51</v>
      </c>
      <c r="CT345" s="330">
        <v>65</v>
      </c>
      <c r="CU345" s="330">
        <v>32</v>
      </c>
      <c r="CV345" s="330">
        <v>15</v>
      </c>
      <c r="CW345" s="330">
        <v>12</v>
      </c>
      <c r="CX345" s="330">
        <v>0</v>
      </c>
      <c r="CY345" s="328">
        <v>287</v>
      </c>
      <c r="CZ345" s="322" t="s">
        <v>934</v>
      </c>
      <c r="DA345" s="323">
        <v>0</v>
      </c>
      <c r="DB345" s="323">
        <v>0</v>
      </c>
      <c r="DC345" s="323">
        <v>0</v>
      </c>
      <c r="DD345" s="323">
        <v>0</v>
      </c>
      <c r="DE345" s="323">
        <v>0</v>
      </c>
      <c r="DF345" s="323">
        <v>0</v>
      </c>
      <c r="DG345" s="323">
        <v>0</v>
      </c>
      <c r="DH345" s="323">
        <v>0</v>
      </c>
      <c r="DI345" s="323">
        <v>0</v>
      </c>
      <c r="DJ345" s="337">
        <v>0</v>
      </c>
      <c r="DK345" s="644">
        <v>14359.5</v>
      </c>
      <c r="DL345" s="614">
        <v>2693</v>
      </c>
      <c r="DM345" s="614">
        <v>3749</v>
      </c>
      <c r="DN345" s="614">
        <v>3664</v>
      </c>
      <c r="DO345" s="614">
        <v>3322</v>
      </c>
      <c r="DP345" s="614">
        <v>1795</v>
      </c>
      <c r="DQ345" s="614">
        <v>1259</v>
      </c>
      <c r="DR345" s="614">
        <v>653</v>
      </c>
      <c r="DS345" s="615">
        <v>38</v>
      </c>
      <c r="DT345" s="607">
        <f t="shared" si="5"/>
        <v>17173</v>
      </c>
      <c r="DU345" s="342"/>
      <c r="EC345" s="646"/>
      <c r="EF345" s="126"/>
      <c r="EG345" s="124"/>
    </row>
    <row r="346" spans="1:137" ht="15">
      <c r="A346" s="22">
        <v>338</v>
      </c>
      <c r="B346" s="23" t="s">
        <v>819</v>
      </c>
      <c r="C346" s="24" t="s">
        <v>820</v>
      </c>
      <c r="D346" s="613"/>
      <c r="E346" s="626">
        <v>6662</v>
      </c>
      <c r="F346" s="626">
        <v>14285</v>
      </c>
      <c r="G346" s="626">
        <v>13363</v>
      </c>
      <c r="H346" s="626">
        <v>8891</v>
      </c>
      <c r="I346" s="626">
        <v>6051</v>
      </c>
      <c r="J346" s="626">
        <v>3161</v>
      </c>
      <c r="K346" s="626">
        <v>1864</v>
      </c>
      <c r="L346" s="626">
        <v>151</v>
      </c>
      <c r="M346" s="631">
        <v>54428</v>
      </c>
      <c r="N346" s="322"/>
      <c r="O346" s="323">
        <v>407</v>
      </c>
      <c r="P346" s="323">
        <v>646</v>
      </c>
      <c r="Q346" s="323">
        <v>303</v>
      </c>
      <c r="R346" s="323">
        <v>123</v>
      </c>
      <c r="S346" s="323">
        <v>104</v>
      </c>
      <c r="T346" s="323">
        <v>73</v>
      </c>
      <c r="U346" s="323">
        <v>31</v>
      </c>
      <c r="V346" s="323">
        <v>10</v>
      </c>
      <c r="W346" s="323">
        <v>1697</v>
      </c>
      <c r="X346" s="329" t="s">
        <v>934</v>
      </c>
      <c r="Y346" s="330">
        <v>0</v>
      </c>
      <c r="Z346" s="330">
        <v>0</v>
      </c>
      <c r="AA346" s="330">
        <v>1</v>
      </c>
      <c r="AB346" s="330">
        <v>0</v>
      </c>
      <c r="AC346" s="330">
        <v>1</v>
      </c>
      <c r="AD346" s="330">
        <v>0</v>
      </c>
      <c r="AE346" s="330">
        <v>1</v>
      </c>
      <c r="AF346" s="330">
        <v>0</v>
      </c>
      <c r="AG346" s="328">
        <v>3</v>
      </c>
      <c r="AH346" s="329" t="s">
        <v>934</v>
      </c>
      <c r="AI346" s="184">
        <v>17</v>
      </c>
      <c r="AJ346" s="184">
        <v>58</v>
      </c>
      <c r="AK346" s="184">
        <v>69</v>
      </c>
      <c r="AL346" s="184">
        <v>58</v>
      </c>
      <c r="AM346" s="184">
        <v>51</v>
      </c>
      <c r="AN346" s="184">
        <v>27</v>
      </c>
      <c r="AO346" s="184">
        <v>17</v>
      </c>
      <c r="AP346" s="184">
        <v>15</v>
      </c>
      <c r="AQ346" s="336">
        <v>312</v>
      </c>
      <c r="AR346" s="323">
        <v>7</v>
      </c>
      <c r="AS346" s="323">
        <v>3640</v>
      </c>
      <c r="AT346" s="323">
        <v>5423</v>
      </c>
      <c r="AU346" s="323">
        <v>3856</v>
      </c>
      <c r="AV346" s="323">
        <v>1992</v>
      </c>
      <c r="AW346" s="323">
        <v>981</v>
      </c>
      <c r="AX346" s="323">
        <v>458</v>
      </c>
      <c r="AY346" s="323">
        <v>233</v>
      </c>
      <c r="AZ346" s="323">
        <v>12</v>
      </c>
      <c r="BA346" s="323">
        <v>16602</v>
      </c>
      <c r="BB346" s="331">
        <v>0</v>
      </c>
      <c r="BC346" s="330">
        <v>22</v>
      </c>
      <c r="BD346" s="330">
        <v>83</v>
      </c>
      <c r="BE346" s="330">
        <v>79</v>
      </c>
      <c r="BF346" s="330">
        <v>58</v>
      </c>
      <c r="BG346" s="330">
        <v>43</v>
      </c>
      <c r="BH346" s="330">
        <v>15</v>
      </c>
      <c r="BI346" s="330">
        <v>9</v>
      </c>
      <c r="BJ346" s="330">
        <v>2</v>
      </c>
      <c r="BK346" s="328">
        <v>311</v>
      </c>
      <c r="BL346" s="323">
        <v>0</v>
      </c>
      <c r="BM346" s="323">
        <v>4</v>
      </c>
      <c r="BN346" s="323">
        <v>4</v>
      </c>
      <c r="BO346" s="323">
        <v>8</v>
      </c>
      <c r="BP346" s="323">
        <v>18</v>
      </c>
      <c r="BQ346" s="323">
        <v>16</v>
      </c>
      <c r="BR346" s="323">
        <v>11</v>
      </c>
      <c r="BS346" s="323">
        <v>16</v>
      </c>
      <c r="BT346" s="323">
        <v>2</v>
      </c>
      <c r="BU346" s="323">
        <v>79</v>
      </c>
      <c r="BV346" s="329" t="s">
        <v>934</v>
      </c>
      <c r="BW346" s="330">
        <v>55</v>
      </c>
      <c r="BX346" s="330">
        <v>56</v>
      </c>
      <c r="BY346" s="330">
        <v>85</v>
      </c>
      <c r="BZ346" s="330">
        <v>55</v>
      </c>
      <c r="CA346" s="330">
        <v>39</v>
      </c>
      <c r="CB346" s="330">
        <v>39</v>
      </c>
      <c r="CC346" s="330">
        <v>28</v>
      </c>
      <c r="CD346" s="330">
        <v>12</v>
      </c>
      <c r="CE346" s="328">
        <v>369</v>
      </c>
      <c r="CF346" s="322" t="s">
        <v>934</v>
      </c>
      <c r="CG346" s="323">
        <v>0</v>
      </c>
      <c r="CH346" s="323">
        <v>0</v>
      </c>
      <c r="CI346" s="323">
        <v>0</v>
      </c>
      <c r="CJ346" s="323">
        <v>0</v>
      </c>
      <c r="CK346" s="323">
        <v>0</v>
      </c>
      <c r="CL346" s="323">
        <v>0</v>
      </c>
      <c r="CM346" s="323">
        <v>0</v>
      </c>
      <c r="CN346" s="323">
        <v>0</v>
      </c>
      <c r="CO346" s="323">
        <v>0</v>
      </c>
      <c r="CP346" s="329" t="s">
        <v>934</v>
      </c>
      <c r="CQ346" s="330">
        <v>0</v>
      </c>
      <c r="CR346" s="330">
        <v>0</v>
      </c>
      <c r="CS346" s="330">
        <v>0</v>
      </c>
      <c r="CT346" s="330">
        <v>0</v>
      </c>
      <c r="CU346" s="330">
        <v>0</v>
      </c>
      <c r="CV346" s="330">
        <v>0</v>
      </c>
      <c r="CW346" s="330">
        <v>0</v>
      </c>
      <c r="CX346" s="330">
        <v>0</v>
      </c>
      <c r="CY346" s="328">
        <v>0</v>
      </c>
      <c r="CZ346" s="322" t="s">
        <v>934</v>
      </c>
      <c r="DA346" s="323">
        <v>157</v>
      </c>
      <c r="DB346" s="323">
        <v>108</v>
      </c>
      <c r="DC346" s="323">
        <v>96</v>
      </c>
      <c r="DD346" s="323">
        <v>57</v>
      </c>
      <c r="DE346" s="323">
        <v>36</v>
      </c>
      <c r="DF346" s="323">
        <v>11</v>
      </c>
      <c r="DG346" s="323">
        <v>12</v>
      </c>
      <c r="DH346" s="323">
        <v>2</v>
      </c>
      <c r="DI346" s="323">
        <v>479</v>
      </c>
      <c r="DJ346" s="337">
        <v>550.6</v>
      </c>
      <c r="DK346" s="644">
        <v>46716.4</v>
      </c>
      <c r="DL346" s="614">
        <v>6833</v>
      </c>
      <c r="DM346" s="614">
        <v>14426</v>
      </c>
      <c r="DN346" s="614">
        <v>13455</v>
      </c>
      <c r="DO346" s="614">
        <v>9032</v>
      </c>
      <c r="DP346" s="614">
        <v>6060</v>
      </c>
      <c r="DQ346" s="614">
        <v>3178</v>
      </c>
      <c r="DR346" s="614">
        <v>1855</v>
      </c>
      <c r="DS346" s="615">
        <v>151</v>
      </c>
      <c r="DT346" s="607">
        <f t="shared" si="5"/>
        <v>54990</v>
      </c>
      <c r="DU346" s="342"/>
      <c r="EC346" s="646"/>
      <c r="EF346" s="126"/>
      <c r="EG346" s="124"/>
    </row>
    <row r="347" spans="1:137" ht="15">
      <c r="A347" s="22">
        <v>339</v>
      </c>
      <c r="B347" s="23" t="s">
        <v>821</v>
      </c>
      <c r="C347" s="24" t="s">
        <v>822</v>
      </c>
      <c r="D347" s="613"/>
      <c r="E347" s="632">
        <v>1570</v>
      </c>
      <c r="F347" s="632">
        <v>6350</v>
      </c>
      <c r="G347" s="632">
        <v>15689</v>
      </c>
      <c r="H347" s="632">
        <v>21902</v>
      </c>
      <c r="I347" s="632">
        <v>21321</v>
      </c>
      <c r="J347" s="632">
        <v>15957</v>
      </c>
      <c r="K347" s="632">
        <v>21365</v>
      </c>
      <c r="L347" s="632">
        <v>13826</v>
      </c>
      <c r="M347" s="627">
        <v>117980</v>
      </c>
      <c r="N347" s="322"/>
      <c r="O347" s="323">
        <v>75</v>
      </c>
      <c r="P347" s="323">
        <v>491</v>
      </c>
      <c r="Q347" s="323">
        <v>566</v>
      </c>
      <c r="R347" s="323">
        <v>791</v>
      </c>
      <c r="S347" s="323">
        <v>855</v>
      </c>
      <c r="T347" s="323">
        <v>789</v>
      </c>
      <c r="U347" s="323">
        <v>1259</v>
      </c>
      <c r="V347" s="323">
        <v>727</v>
      </c>
      <c r="W347" s="323">
        <v>5553</v>
      </c>
      <c r="X347" s="329" t="s">
        <v>934</v>
      </c>
      <c r="Y347" s="330">
        <v>0</v>
      </c>
      <c r="Z347" s="330">
        <v>0</v>
      </c>
      <c r="AA347" s="330">
        <v>0</v>
      </c>
      <c r="AB347" s="330">
        <v>0</v>
      </c>
      <c r="AC347" s="330">
        <v>0</v>
      </c>
      <c r="AD347" s="330">
        <v>0</v>
      </c>
      <c r="AE347" s="330">
        <v>0</v>
      </c>
      <c r="AF347" s="330">
        <v>0</v>
      </c>
      <c r="AG347" s="328">
        <v>0</v>
      </c>
      <c r="AH347" s="329" t="s">
        <v>934</v>
      </c>
      <c r="AI347" s="184">
        <v>0</v>
      </c>
      <c r="AJ347" s="184">
        <v>10</v>
      </c>
      <c r="AK347" s="184">
        <v>21</v>
      </c>
      <c r="AL347" s="184">
        <v>32</v>
      </c>
      <c r="AM347" s="184">
        <v>34</v>
      </c>
      <c r="AN347" s="184">
        <v>30</v>
      </c>
      <c r="AO347" s="184">
        <v>37</v>
      </c>
      <c r="AP347" s="184">
        <v>30</v>
      </c>
      <c r="AQ347" s="336">
        <v>194</v>
      </c>
      <c r="AR347" s="323">
        <v>0</v>
      </c>
      <c r="AS347" s="323">
        <v>754</v>
      </c>
      <c r="AT347" s="323">
        <v>3693</v>
      </c>
      <c r="AU347" s="323">
        <v>7772</v>
      </c>
      <c r="AV347" s="323">
        <v>9351</v>
      </c>
      <c r="AW347" s="323">
        <v>7889</v>
      </c>
      <c r="AX347" s="323">
        <v>4573</v>
      </c>
      <c r="AY347" s="323">
        <v>4593</v>
      </c>
      <c r="AZ347" s="323">
        <v>1630</v>
      </c>
      <c r="BA347" s="323">
        <v>40255</v>
      </c>
      <c r="BB347" s="331">
        <v>0</v>
      </c>
      <c r="BC347" s="330">
        <v>3</v>
      </c>
      <c r="BD347" s="330">
        <v>26</v>
      </c>
      <c r="BE347" s="330">
        <v>82</v>
      </c>
      <c r="BF347" s="330">
        <v>150</v>
      </c>
      <c r="BG347" s="330">
        <v>163</v>
      </c>
      <c r="BH347" s="330">
        <v>131</v>
      </c>
      <c r="BI347" s="330">
        <v>148</v>
      </c>
      <c r="BJ347" s="330">
        <v>34</v>
      </c>
      <c r="BK347" s="328">
        <v>737</v>
      </c>
      <c r="BL347" s="323">
        <v>0</v>
      </c>
      <c r="BM347" s="323">
        <v>8</v>
      </c>
      <c r="BN347" s="323">
        <v>1</v>
      </c>
      <c r="BO347" s="323">
        <v>4</v>
      </c>
      <c r="BP347" s="323">
        <v>5</v>
      </c>
      <c r="BQ347" s="323">
        <v>17</v>
      </c>
      <c r="BR347" s="323">
        <v>7</v>
      </c>
      <c r="BS347" s="323">
        <v>12</v>
      </c>
      <c r="BT347" s="323">
        <v>31</v>
      </c>
      <c r="BU347" s="323">
        <v>85</v>
      </c>
      <c r="BV347" s="329" t="s">
        <v>934</v>
      </c>
      <c r="BW347" s="330">
        <v>93</v>
      </c>
      <c r="BX347" s="330">
        <v>115</v>
      </c>
      <c r="BY347" s="330">
        <v>419</v>
      </c>
      <c r="BZ347" s="330">
        <v>826</v>
      </c>
      <c r="CA347" s="330">
        <v>1122</v>
      </c>
      <c r="CB347" s="330">
        <v>1454</v>
      </c>
      <c r="CC347" s="330">
        <v>2900</v>
      </c>
      <c r="CD347" s="330">
        <v>2306</v>
      </c>
      <c r="CE347" s="328">
        <v>9235</v>
      </c>
      <c r="CF347" s="322" t="s">
        <v>934</v>
      </c>
      <c r="CG347" s="323">
        <v>0</v>
      </c>
      <c r="CH347" s="323">
        <v>0</v>
      </c>
      <c r="CI347" s="323">
        <v>0</v>
      </c>
      <c r="CJ347" s="323">
        <v>0</v>
      </c>
      <c r="CK347" s="323">
        <v>0</v>
      </c>
      <c r="CL347" s="323">
        <v>0</v>
      </c>
      <c r="CM347" s="323">
        <v>0</v>
      </c>
      <c r="CN347" s="323">
        <v>0</v>
      </c>
      <c r="CO347" s="323">
        <v>0</v>
      </c>
      <c r="CP347" s="329" t="s">
        <v>934</v>
      </c>
      <c r="CQ347" s="330">
        <v>0</v>
      </c>
      <c r="CR347" s="330">
        <v>0</v>
      </c>
      <c r="CS347" s="330">
        <v>0</v>
      </c>
      <c r="CT347" s="330">
        <v>0</v>
      </c>
      <c r="CU347" s="330">
        <v>0</v>
      </c>
      <c r="CV347" s="330">
        <v>0</v>
      </c>
      <c r="CW347" s="330">
        <v>0</v>
      </c>
      <c r="CX347" s="330">
        <v>0</v>
      </c>
      <c r="CY347" s="328">
        <v>0</v>
      </c>
      <c r="CZ347" s="322" t="s">
        <v>934</v>
      </c>
      <c r="DA347" s="323">
        <v>37</v>
      </c>
      <c r="DB347" s="323">
        <v>72</v>
      </c>
      <c r="DC347" s="323">
        <v>177</v>
      </c>
      <c r="DD347" s="323">
        <v>242</v>
      </c>
      <c r="DE347" s="323">
        <v>304</v>
      </c>
      <c r="DF347" s="323">
        <v>245</v>
      </c>
      <c r="DG347" s="323">
        <v>442</v>
      </c>
      <c r="DH347" s="323">
        <v>460</v>
      </c>
      <c r="DI347" s="323">
        <v>1979</v>
      </c>
      <c r="DJ347" s="337">
        <v>543.5</v>
      </c>
      <c r="DK347" s="644">
        <v>127823.1</v>
      </c>
      <c r="DL347" s="616">
        <v>1586</v>
      </c>
      <c r="DM347" s="616">
        <v>6569</v>
      </c>
      <c r="DN347" s="616">
        <v>15802</v>
      </c>
      <c r="DO347" s="616">
        <v>21963</v>
      </c>
      <c r="DP347" s="616">
        <v>21388</v>
      </c>
      <c r="DQ347" s="616">
        <v>16075</v>
      </c>
      <c r="DR347" s="616">
        <v>21296</v>
      </c>
      <c r="DS347" s="617">
        <v>13841</v>
      </c>
      <c r="DT347" s="607">
        <f t="shared" si="5"/>
        <v>118520</v>
      </c>
      <c r="DU347" s="342"/>
      <c r="EC347" s="646"/>
      <c r="EF347" s="125"/>
      <c r="EG347" s="124"/>
    </row>
    <row r="348" spans="1:137" ht="15">
      <c r="A348" s="22">
        <v>340</v>
      </c>
      <c r="B348" s="23" t="s">
        <v>823</v>
      </c>
      <c r="C348" s="24" t="s">
        <v>824</v>
      </c>
      <c r="D348" s="613"/>
      <c r="E348" s="628">
        <v>6953</v>
      </c>
      <c r="F348" s="628">
        <v>9058</v>
      </c>
      <c r="G348" s="628">
        <v>5757</v>
      </c>
      <c r="H348" s="628">
        <v>4578</v>
      </c>
      <c r="I348" s="628">
        <v>2245</v>
      </c>
      <c r="J348" s="628">
        <v>810</v>
      </c>
      <c r="K348" s="628">
        <v>317</v>
      </c>
      <c r="L348" s="628">
        <v>19</v>
      </c>
      <c r="M348" s="627">
        <v>29737</v>
      </c>
      <c r="N348" s="322"/>
      <c r="O348" s="323">
        <v>306</v>
      </c>
      <c r="P348" s="323">
        <v>193</v>
      </c>
      <c r="Q348" s="323">
        <v>120</v>
      </c>
      <c r="R348" s="323">
        <v>106</v>
      </c>
      <c r="S348" s="323">
        <v>33</v>
      </c>
      <c r="T348" s="323">
        <v>10</v>
      </c>
      <c r="U348" s="323">
        <v>3</v>
      </c>
      <c r="V348" s="323">
        <v>0</v>
      </c>
      <c r="W348" s="323">
        <v>771</v>
      </c>
      <c r="X348" s="329" t="s">
        <v>934</v>
      </c>
      <c r="Y348" s="330">
        <v>1</v>
      </c>
      <c r="Z348" s="330">
        <v>0</v>
      </c>
      <c r="AA348" s="330">
        <v>1</v>
      </c>
      <c r="AB348" s="330">
        <v>1</v>
      </c>
      <c r="AC348" s="330">
        <v>0</v>
      </c>
      <c r="AD348" s="330">
        <v>0</v>
      </c>
      <c r="AE348" s="330">
        <v>1</v>
      </c>
      <c r="AF348" s="330">
        <v>0</v>
      </c>
      <c r="AG348" s="328">
        <v>4</v>
      </c>
      <c r="AH348" s="329" t="s">
        <v>934</v>
      </c>
      <c r="AI348" s="184">
        <v>10</v>
      </c>
      <c r="AJ348" s="184">
        <v>46</v>
      </c>
      <c r="AK348" s="184">
        <v>50</v>
      </c>
      <c r="AL348" s="184">
        <v>48</v>
      </c>
      <c r="AM348" s="184">
        <v>40</v>
      </c>
      <c r="AN348" s="184">
        <v>15</v>
      </c>
      <c r="AO348" s="184">
        <v>23</v>
      </c>
      <c r="AP348" s="184">
        <v>4</v>
      </c>
      <c r="AQ348" s="336">
        <v>236</v>
      </c>
      <c r="AR348" s="323">
        <v>4</v>
      </c>
      <c r="AS348" s="323">
        <v>3640</v>
      </c>
      <c r="AT348" s="323">
        <v>3137</v>
      </c>
      <c r="AU348" s="323">
        <v>1582</v>
      </c>
      <c r="AV348" s="323">
        <v>1102</v>
      </c>
      <c r="AW348" s="323">
        <v>444</v>
      </c>
      <c r="AX348" s="323">
        <v>106</v>
      </c>
      <c r="AY348" s="323">
        <v>37</v>
      </c>
      <c r="AZ348" s="323">
        <v>4</v>
      </c>
      <c r="BA348" s="323">
        <v>10056</v>
      </c>
      <c r="BB348" s="331">
        <v>0</v>
      </c>
      <c r="BC348" s="330">
        <v>30</v>
      </c>
      <c r="BD348" s="330">
        <v>79</v>
      </c>
      <c r="BE348" s="330">
        <v>37</v>
      </c>
      <c r="BF348" s="330">
        <v>28</v>
      </c>
      <c r="BG348" s="330">
        <v>18</v>
      </c>
      <c r="BH348" s="330">
        <v>4</v>
      </c>
      <c r="BI348" s="330">
        <v>3</v>
      </c>
      <c r="BJ348" s="330">
        <v>0</v>
      </c>
      <c r="BK348" s="328">
        <v>199</v>
      </c>
      <c r="BL348" s="323">
        <v>0</v>
      </c>
      <c r="BM348" s="323">
        <v>5</v>
      </c>
      <c r="BN348" s="323">
        <v>13</v>
      </c>
      <c r="BO348" s="323">
        <v>7</v>
      </c>
      <c r="BP348" s="323">
        <v>7</v>
      </c>
      <c r="BQ348" s="323">
        <v>8</v>
      </c>
      <c r="BR348" s="323">
        <v>27</v>
      </c>
      <c r="BS348" s="323">
        <v>12</v>
      </c>
      <c r="BT348" s="323">
        <v>3</v>
      </c>
      <c r="BU348" s="323">
        <v>82</v>
      </c>
      <c r="BV348" s="329" t="s">
        <v>934</v>
      </c>
      <c r="BW348" s="330">
        <v>141</v>
      </c>
      <c r="BX348" s="330">
        <v>219</v>
      </c>
      <c r="BY348" s="330">
        <v>146</v>
      </c>
      <c r="BZ348" s="330">
        <v>177</v>
      </c>
      <c r="CA348" s="330">
        <v>67</v>
      </c>
      <c r="CB348" s="330">
        <v>18</v>
      </c>
      <c r="CC348" s="330">
        <v>7</v>
      </c>
      <c r="CD348" s="330">
        <v>1</v>
      </c>
      <c r="CE348" s="328">
        <v>776</v>
      </c>
      <c r="CF348" s="322" t="s">
        <v>934</v>
      </c>
      <c r="CG348" s="323">
        <v>0</v>
      </c>
      <c r="CH348" s="323">
        <v>0</v>
      </c>
      <c r="CI348" s="323">
        <v>0</v>
      </c>
      <c r="CJ348" s="323">
        <v>0</v>
      </c>
      <c r="CK348" s="323">
        <v>0</v>
      </c>
      <c r="CL348" s="323">
        <v>0</v>
      </c>
      <c r="CM348" s="323">
        <v>0</v>
      </c>
      <c r="CN348" s="323">
        <v>0</v>
      </c>
      <c r="CO348" s="323">
        <v>0</v>
      </c>
      <c r="CP348" s="329" t="s">
        <v>934</v>
      </c>
      <c r="CQ348" s="330">
        <v>96</v>
      </c>
      <c r="CR348" s="330">
        <v>73</v>
      </c>
      <c r="CS348" s="330">
        <v>35</v>
      </c>
      <c r="CT348" s="330">
        <v>27</v>
      </c>
      <c r="CU348" s="330">
        <v>14</v>
      </c>
      <c r="CV348" s="330">
        <v>5</v>
      </c>
      <c r="CW348" s="330">
        <v>3</v>
      </c>
      <c r="CX348" s="330">
        <v>2</v>
      </c>
      <c r="CY348" s="328">
        <v>255</v>
      </c>
      <c r="CZ348" s="322" t="s">
        <v>934</v>
      </c>
      <c r="DA348" s="323">
        <v>0</v>
      </c>
      <c r="DB348" s="323">
        <v>0</v>
      </c>
      <c r="DC348" s="323">
        <v>0</v>
      </c>
      <c r="DD348" s="323">
        <v>0</v>
      </c>
      <c r="DE348" s="323">
        <v>0</v>
      </c>
      <c r="DF348" s="323">
        <v>0</v>
      </c>
      <c r="DG348" s="323">
        <v>0</v>
      </c>
      <c r="DH348" s="323">
        <v>0</v>
      </c>
      <c r="DI348" s="323">
        <v>0</v>
      </c>
      <c r="DJ348" s="337">
        <v>0</v>
      </c>
      <c r="DK348" s="644">
        <v>22713</v>
      </c>
      <c r="DL348" s="614">
        <v>6973</v>
      </c>
      <c r="DM348" s="614">
        <v>9103</v>
      </c>
      <c r="DN348" s="614">
        <v>5838</v>
      </c>
      <c r="DO348" s="614">
        <v>4587</v>
      </c>
      <c r="DP348" s="614">
        <v>2258</v>
      </c>
      <c r="DQ348" s="614">
        <v>811</v>
      </c>
      <c r="DR348" s="614">
        <v>314</v>
      </c>
      <c r="DS348" s="615">
        <v>19</v>
      </c>
      <c r="DT348" s="607">
        <f t="shared" si="5"/>
        <v>29903</v>
      </c>
      <c r="DU348" s="342"/>
      <c r="EC348" s="646"/>
      <c r="EF348" s="126"/>
      <c r="EG348" s="124"/>
    </row>
    <row r="349" spans="1:137" ht="15">
      <c r="A349" s="22">
        <v>341</v>
      </c>
      <c r="B349" s="23" t="s">
        <v>825</v>
      </c>
      <c r="C349" s="24" t="s">
        <v>826</v>
      </c>
      <c r="D349" s="613"/>
      <c r="E349" s="626">
        <v>65816</v>
      </c>
      <c r="F349" s="626">
        <v>29107</v>
      </c>
      <c r="G349" s="626">
        <v>21854</v>
      </c>
      <c r="H349" s="626">
        <v>10804</v>
      </c>
      <c r="I349" s="626">
        <v>5183</v>
      </c>
      <c r="J349" s="626">
        <v>1660</v>
      </c>
      <c r="K349" s="626">
        <v>540</v>
      </c>
      <c r="L349" s="626">
        <v>50</v>
      </c>
      <c r="M349" s="627">
        <v>135014</v>
      </c>
      <c r="N349" s="322"/>
      <c r="O349" s="323">
        <v>2231</v>
      </c>
      <c r="P349" s="323">
        <v>589</v>
      </c>
      <c r="Q349" s="323">
        <v>340</v>
      </c>
      <c r="R349" s="323">
        <v>161</v>
      </c>
      <c r="S349" s="323">
        <v>85</v>
      </c>
      <c r="T349" s="323">
        <v>22</v>
      </c>
      <c r="U349" s="323">
        <v>10</v>
      </c>
      <c r="V349" s="323">
        <v>0</v>
      </c>
      <c r="W349" s="323">
        <v>3438</v>
      </c>
      <c r="X349" s="329" t="s">
        <v>934</v>
      </c>
      <c r="Y349" s="330">
        <v>7</v>
      </c>
      <c r="Z349" s="330">
        <v>0</v>
      </c>
      <c r="AA349" s="330">
        <v>1</v>
      </c>
      <c r="AB349" s="330">
        <v>1</v>
      </c>
      <c r="AC349" s="330">
        <v>0</v>
      </c>
      <c r="AD349" s="330">
        <v>0</v>
      </c>
      <c r="AE349" s="330">
        <v>0</v>
      </c>
      <c r="AF349" s="330">
        <v>0</v>
      </c>
      <c r="AG349" s="328">
        <v>9</v>
      </c>
      <c r="AH349" s="329" t="s">
        <v>934</v>
      </c>
      <c r="AI349" s="184">
        <v>235</v>
      </c>
      <c r="AJ349" s="184">
        <v>279</v>
      </c>
      <c r="AK349" s="184">
        <v>226</v>
      </c>
      <c r="AL349" s="184">
        <v>118</v>
      </c>
      <c r="AM349" s="184">
        <v>57</v>
      </c>
      <c r="AN349" s="184">
        <v>27</v>
      </c>
      <c r="AO349" s="184">
        <v>12</v>
      </c>
      <c r="AP349" s="184">
        <v>29</v>
      </c>
      <c r="AQ349" s="336">
        <v>983</v>
      </c>
      <c r="AR349" s="323">
        <v>51</v>
      </c>
      <c r="AS349" s="323">
        <v>29041</v>
      </c>
      <c r="AT349" s="323">
        <v>7845</v>
      </c>
      <c r="AU349" s="323">
        <v>4646</v>
      </c>
      <c r="AV349" s="323">
        <v>1600</v>
      </c>
      <c r="AW349" s="323">
        <v>565</v>
      </c>
      <c r="AX349" s="323">
        <v>162</v>
      </c>
      <c r="AY349" s="323">
        <v>50</v>
      </c>
      <c r="AZ349" s="323">
        <v>0</v>
      </c>
      <c r="BA349" s="323">
        <v>43960</v>
      </c>
      <c r="BB349" s="331">
        <v>8</v>
      </c>
      <c r="BC349" s="330">
        <v>343</v>
      </c>
      <c r="BD349" s="330">
        <v>187</v>
      </c>
      <c r="BE349" s="330">
        <v>124</v>
      </c>
      <c r="BF349" s="330">
        <v>72</v>
      </c>
      <c r="BG349" s="330">
        <v>17</v>
      </c>
      <c r="BH349" s="330">
        <v>12</v>
      </c>
      <c r="BI349" s="330">
        <v>4</v>
      </c>
      <c r="BJ349" s="330">
        <v>0</v>
      </c>
      <c r="BK349" s="328">
        <v>767</v>
      </c>
      <c r="BL349" s="323">
        <v>3</v>
      </c>
      <c r="BM349" s="323">
        <v>8</v>
      </c>
      <c r="BN349" s="323">
        <v>7</v>
      </c>
      <c r="BO349" s="323">
        <v>16</v>
      </c>
      <c r="BP349" s="323">
        <v>15</v>
      </c>
      <c r="BQ349" s="323">
        <v>11</v>
      </c>
      <c r="BR349" s="323">
        <v>8</v>
      </c>
      <c r="BS349" s="323">
        <v>33</v>
      </c>
      <c r="BT349" s="323">
        <v>3</v>
      </c>
      <c r="BU349" s="323">
        <v>104</v>
      </c>
      <c r="BV349" s="329" t="s">
        <v>934</v>
      </c>
      <c r="BW349" s="330">
        <v>179</v>
      </c>
      <c r="BX349" s="330">
        <v>68</v>
      </c>
      <c r="BY349" s="330">
        <v>53</v>
      </c>
      <c r="BZ349" s="330">
        <v>16</v>
      </c>
      <c r="CA349" s="330">
        <v>10</v>
      </c>
      <c r="CB349" s="330">
        <v>4</v>
      </c>
      <c r="CC349" s="330">
        <v>3</v>
      </c>
      <c r="CD349" s="330">
        <v>1</v>
      </c>
      <c r="CE349" s="328">
        <v>334</v>
      </c>
      <c r="CF349" s="322" t="s">
        <v>934</v>
      </c>
      <c r="CG349" s="323">
        <v>1354</v>
      </c>
      <c r="CH349" s="323">
        <v>367</v>
      </c>
      <c r="CI349" s="323">
        <v>190</v>
      </c>
      <c r="CJ349" s="323">
        <v>69</v>
      </c>
      <c r="CK349" s="323">
        <v>37</v>
      </c>
      <c r="CL349" s="323">
        <v>15</v>
      </c>
      <c r="CM349" s="323">
        <v>7</v>
      </c>
      <c r="CN349" s="323">
        <v>4</v>
      </c>
      <c r="CO349" s="323">
        <v>2043</v>
      </c>
      <c r="CP349" s="329" t="s">
        <v>934</v>
      </c>
      <c r="CQ349" s="330">
        <v>0</v>
      </c>
      <c r="CR349" s="330">
        <v>0</v>
      </c>
      <c r="CS349" s="330">
        <v>0</v>
      </c>
      <c r="CT349" s="330">
        <v>0</v>
      </c>
      <c r="CU349" s="330">
        <v>0</v>
      </c>
      <c r="CV349" s="330">
        <v>0</v>
      </c>
      <c r="CW349" s="330">
        <v>0</v>
      </c>
      <c r="CX349" s="330">
        <v>0</v>
      </c>
      <c r="CY349" s="328">
        <v>0</v>
      </c>
      <c r="CZ349" s="322" t="s">
        <v>934</v>
      </c>
      <c r="DA349" s="323">
        <v>0</v>
      </c>
      <c r="DB349" s="323">
        <v>0</v>
      </c>
      <c r="DC349" s="323">
        <v>0</v>
      </c>
      <c r="DD349" s="323">
        <v>0</v>
      </c>
      <c r="DE349" s="323">
        <v>0</v>
      </c>
      <c r="DF349" s="323">
        <v>0</v>
      </c>
      <c r="DG349" s="323">
        <v>0</v>
      </c>
      <c r="DH349" s="323">
        <v>0</v>
      </c>
      <c r="DI349" s="323">
        <v>0</v>
      </c>
      <c r="DJ349" s="337">
        <v>0</v>
      </c>
      <c r="DK349" s="644">
        <v>94625.8</v>
      </c>
      <c r="DL349" s="614">
        <v>66028</v>
      </c>
      <c r="DM349" s="614">
        <v>29635</v>
      </c>
      <c r="DN349" s="614">
        <v>22119</v>
      </c>
      <c r="DO349" s="614">
        <v>11123</v>
      </c>
      <c r="DP349" s="614">
        <v>5338</v>
      </c>
      <c r="DQ349" s="614">
        <v>1707</v>
      </c>
      <c r="DR349" s="614">
        <v>546</v>
      </c>
      <c r="DS349" s="615">
        <v>52</v>
      </c>
      <c r="DT349" s="607">
        <f t="shared" si="5"/>
        <v>136548</v>
      </c>
      <c r="DU349" s="342"/>
      <c r="EC349" s="646"/>
      <c r="EF349" s="126"/>
      <c r="EG349" s="124"/>
    </row>
    <row r="350" spans="1:137" ht="15">
      <c r="A350" s="22">
        <v>342</v>
      </c>
      <c r="B350" s="23" t="s">
        <v>827</v>
      </c>
      <c r="C350" s="24" t="s">
        <v>828</v>
      </c>
      <c r="D350" s="613"/>
      <c r="E350" s="628">
        <v>1961</v>
      </c>
      <c r="F350" s="628">
        <v>5814</v>
      </c>
      <c r="G350" s="628">
        <v>10881</v>
      </c>
      <c r="H350" s="628">
        <v>8582</v>
      </c>
      <c r="I350" s="628">
        <v>8033</v>
      </c>
      <c r="J350" s="628">
        <v>6101</v>
      </c>
      <c r="K350" s="628">
        <v>5016</v>
      </c>
      <c r="L350" s="628">
        <v>623</v>
      </c>
      <c r="M350" s="627">
        <v>47011</v>
      </c>
      <c r="N350" s="322"/>
      <c r="O350" s="323">
        <v>266</v>
      </c>
      <c r="P350" s="323">
        <v>269</v>
      </c>
      <c r="Q350" s="323">
        <v>596</v>
      </c>
      <c r="R350" s="323">
        <v>302</v>
      </c>
      <c r="S350" s="323">
        <v>177</v>
      </c>
      <c r="T350" s="323">
        <v>85</v>
      </c>
      <c r="U350" s="323">
        <v>157</v>
      </c>
      <c r="V350" s="323">
        <v>40</v>
      </c>
      <c r="W350" s="323">
        <v>1892</v>
      </c>
      <c r="X350" s="329" t="s">
        <v>934</v>
      </c>
      <c r="Y350" s="330">
        <v>3</v>
      </c>
      <c r="Z350" s="330">
        <v>1</v>
      </c>
      <c r="AA350" s="330">
        <v>1</v>
      </c>
      <c r="AB350" s="330">
        <v>0</v>
      </c>
      <c r="AC350" s="330">
        <v>0</v>
      </c>
      <c r="AD350" s="330">
        <v>5</v>
      </c>
      <c r="AE350" s="330">
        <v>4</v>
      </c>
      <c r="AF350" s="330">
        <v>2</v>
      </c>
      <c r="AG350" s="328">
        <v>16</v>
      </c>
      <c r="AH350" s="329" t="s">
        <v>934</v>
      </c>
      <c r="AI350" s="184">
        <v>3</v>
      </c>
      <c r="AJ350" s="184">
        <v>11</v>
      </c>
      <c r="AK350" s="184">
        <v>18</v>
      </c>
      <c r="AL350" s="184">
        <v>27</v>
      </c>
      <c r="AM350" s="184">
        <v>27</v>
      </c>
      <c r="AN350" s="184">
        <v>28</v>
      </c>
      <c r="AO350" s="184">
        <v>24</v>
      </c>
      <c r="AP350" s="184">
        <v>13</v>
      </c>
      <c r="AQ350" s="336">
        <v>151</v>
      </c>
      <c r="AR350" s="323">
        <v>1</v>
      </c>
      <c r="AS350" s="323">
        <v>937</v>
      </c>
      <c r="AT350" s="323">
        <v>3184</v>
      </c>
      <c r="AU350" s="323">
        <v>3596</v>
      </c>
      <c r="AV350" s="323">
        <v>2516</v>
      </c>
      <c r="AW350" s="323">
        <v>1724</v>
      </c>
      <c r="AX350" s="323">
        <v>1026</v>
      </c>
      <c r="AY350" s="323">
        <v>577</v>
      </c>
      <c r="AZ350" s="323">
        <v>55</v>
      </c>
      <c r="BA350" s="323">
        <v>13616</v>
      </c>
      <c r="BB350" s="331">
        <v>0</v>
      </c>
      <c r="BC350" s="330">
        <v>8</v>
      </c>
      <c r="BD350" s="330">
        <v>40</v>
      </c>
      <c r="BE350" s="330">
        <v>85</v>
      </c>
      <c r="BF350" s="330">
        <v>57</v>
      </c>
      <c r="BG350" s="330">
        <v>45</v>
      </c>
      <c r="BH350" s="330">
        <v>42</v>
      </c>
      <c r="BI350" s="330">
        <v>21</v>
      </c>
      <c r="BJ350" s="330">
        <v>4</v>
      </c>
      <c r="BK350" s="328">
        <v>302</v>
      </c>
      <c r="BL350" s="323">
        <v>0</v>
      </c>
      <c r="BM350" s="323">
        <v>2</v>
      </c>
      <c r="BN350" s="323">
        <v>0</v>
      </c>
      <c r="BO350" s="323">
        <v>5</v>
      </c>
      <c r="BP350" s="323">
        <v>4</v>
      </c>
      <c r="BQ350" s="323">
        <v>2</v>
      </c>
      <c r="BR350" s="323">
        <v>12</v>
      </c>
      <c r="BS350" s="323">
        <v>15</v>
      </c>
      <c r="BT350" s="323">
        <v>16</v>
      </c>
      <c r="BU350" s="323">
        <v>56</v>
      </c>
      <c r="BV350" s="329" t="s">
        <v>934</v>
      </c>
      <c r="BW350" s="330">
        <v>46</v>
      </c>
      <c r="BX350" s="330">
        <v>45</v>
      </c>
      <c r="BY350" s="330">
        <v>99</v>
      </c>
      <c r="BZ350" s="330">
        <v>100</v>
      </c>
      <c r="CA350" s="330">
        <v>81</v>
      </c>
      <c r="CB350" s="330">
        <v>56</v>
      </c>
      <c r="CC350" s="330">
        <v>52</v>
      </c>
      <c r="CD350" s="330">
        <v>15</v>
      </c>
      <c r="CE350" s="328">
        <v>494</v>
      </c>
      <c r="CF350" s="322" t="s">
        <v>934</v>
      </c>
      <c r="CG350" s="323">
        <v>56</v>
      </c>
      <c r="CH350" s="323">
        <v>54</v>
      </c>
      <c r="CI350" s="323">
        <v>84</v>
      </c>
      <c r="CJ350" s="323">
        <v>81</v>
      </c>
      <c r="CK350" s="323">
        <v>48</v>
      </c>
      <c r="CL350" s="323">
        <v>31</v>
      </c>
      <c r="CM350" s="323">
        <v>19</v>
      </c>
      <c r="CN350" s="323">
        <v>1</v>
      </c>
      <c r="CO350" s="323">
        <v>374</v>
      </c>
      <c r="CP350" s="329" t="s">
        <v>934</v>
      </c>
      <c r="CQ350" s="330">
        <v>0</v>
      </c>
      <c r="CR350" s="330">
        <v>0</v>
      </c>
      <c r="CS350" s="330">
        <v>0</v>
      </c>
      <c r="CT350" s="330">
        <v>0</v>
      </c>
      <c r="CU350" s="330">
        <v>0</v>
      </c>
      <c r="CV350" s="330">
        <v>0</v>
      </c>
      <c r="CW350" s="330">
        <v>0</v>
      </c>
      <c r="CX350" s="330">
        <v>0</v>
      </c>
      <c r="CY350" s="328">
        <v>0</v>
      </c>
      <c r="CZ350" s="322" t="s">
        <v>934</v>
      </c>
      <c r="DA350" s="323">
        <v>0</v>
      </c>
      <c r="DB350" s="323">
        <v>0</v>
      </c>
      <c r="DC350" s="323">
        <v>0</v>
      </c>
      <c r="DD350" s="323">
        <v>0</v>
      </c>
      <c r="DE350" s="323">
        <v>0</v>
      </c>
      <c r="DF350" s="323">
        <v>0</v>
      </c>
      <c r="DG350" s="323">
        <v>0</v>
      </c>
      <c r="DH350" s="323">
        <v>0</v>
      </c>
      <c r="DI350" s="323">
        <v>0</v>
      </c>
      <c r="DJ350" s="337">
        <v>347.9</v>
      </c>
      <c r="DK350" s="644">
        <v>46763.8</v>
      </c>
      <c r="DL350" s="614">
        <v>1992</v>
      </c>
      <c r="DM350" s="614">
        <v>5906</v>
      </c>
      <c r="DN350" s="614">
        <v>11012</v>
      </c>
      <c r="DO350" s="614">
        <v>8692</v>
      </c>
      <c r="DP350" s="614">
        <v>8074</v>
      </c>
      <c r="DQ350" s="614">
        <v>6115</v>
      </c>
      <c r="DR350" s="614">
        <v>4985</v>
      </c>
      <c r="DS350" s="615">
        <v>619</v>
      </c>
      <c r="DT350" s="607">
        <f t="shared" si="5"/>
        <v>47395</v>
      </c>
      <c r="DU350" s="342"/>
      <c r="EC350" s="646"/>
      <c r="EF350" s="123"/>
      <c r="EG350" s="124"/>
    </row>
    <row r="351" spans="1:137" ht="15">
      <c r="A351" s="22">
        <v>343</v>
      </c>
      <c r="B351" s="23" t="s">
        <v>829</v>
      </c>
      <c r="C351" s="24" t="s">
        <v>830</v>
      </c>
      <c r="D351" s="613"/>
      <c r="E351" s="629">
        <v>1619</v>
      </c>
      <c r="F351" s="629">
        <v>3460</v>
      </c>
      <c r="G351" s="629">
        <v>8562</v>
      </c>
      <c r="H351" s="629">
        <v>15051</v>
      </c>
      <c r="I351" s="629">
        <v>12446</v>
      </c>
      <c r="J351" s="629">
        <v>7674</v>
      </c>
      <c r="K351" s="629">
        <v>9055</v>
      </c>
      <c r="L351" s="629">
        <v>1430</v>
      </c>
      <c r="M351" s="627">
        <v>59297</v>
      </c>
      <c r="N351" s="322"/>
      <c r="O351" s="323">
        <v>102</v>
      </c>
      <c r="P351" s="323">
        <v>284</v>
      </c>
      <c r="Q351" s="323">
        <v>309</v>
      </c>
      <c r="R351" s="323">
        <v>389</v>
      </c>
      <c r="S351" s="323">
        <v>190</v>
      </c>
      <c r="T351" s="323">
        <v>113</v>
      </c>
      <c r="U351" s="323">
        <v>206</v>
      </c>
      <c r="V351" s="323">
        <v>27</v>
      </c>
      <c r="W351" s="323">
        <v>1620</v>
      </c>
      <c r="X351" s="329" t="s">
        <v>934</v>
      </c>
      <c r="Y351" s="330">
        <v>0</v>
      </c>
      <c r="Z351" s="330">
        <v>0</v>
      </c>
      <c r="AA351" s="330">
        <v>0</v>
      </c>
      <c r="AB351" s="330">
        <v>0</v>
      </c>
      <c r="AC351" s="330">
        <v>0</v>
      </c>
      <c r="AD351" s="330">
        <v>0</v>
      </c>
      <c r="AE351" s="330">
        <v>0</v>
      </c>
      <c r="AF351" s="330">
        <v>0</v>
      </c>
      <c r="AG351" s="328">
        <v>0</v>
      </c>
      <c r="AH351" s="329" t="s">
        <v>934</v>
      </c>
      <c r="AI351" s="184">
        <v>0</v>
      </c>
      <c r="AJ351" s="184">
        <v>7</v>
      </c>
      <c r="AK351" s="184">
        <v>25</v>
      </c>
      <c r="AL351" s="184">
        <v>50</v>
      </c>
      <c r="AM351" s="184">
        <v>60</v>
      </c>
      <c r="AN351" s="184">
        <v>50</v>
      </c>
      <c r="AO351" s="184">
        <v>46</v>
      </c>
      <c r="AP351" s="184">
        <v>8</v>
      </c>
      <c r="AQ351" s="336">
        <v>246</v>
      </c>
      <c r="AR351" s="323">
        <v>0</v>
      </c>
      <c r="AS351" s="323">
        <v>777</v>
      </c>
      <c r="AT351" s="323">
        <v>1985</v>
      </c>
      <c r="AU351" s="323">
        <v>3781</v>
      </c>
      <c r="AV351" s="323">
        <v>4762</v>
      </c>
      <c r="AW351" s="323">
        <v>3252</v>
      </c>
      <c r="AX351" s="323">
        <v>1531</v>
      </c>
      <c r="AY351" s="323">
        <v>1253</v>
      </c>
      <c r="AZ351" s="323">
        <v>114</v>
      </c>
      <c r="BA351" s="323">
        <v>17455</v>
      </c>
      <c r="BB351" s="331">
        <v>0</v>
      </c>
      <c r="BC351" s="330">
        <v>3</v>
      </c>
      <c r="BD351" s="330">
        <v>8</v>
      </c>
      <c r="BE351" s="330">
        <v>35</v>
      </c>
      <c r="BF351" s="330">
        <v>77</v>
      </c>
      <c r="BG351" s="330">
        <v>50</v>
      </c>
      <c r="BH351" s="330">
        <v>33</v>
      </c>
      <c r="BI351" s="330">
        <v>31</v>
      </c>
      <c r="BJ351" s="330">
        <v>7</v>
      </c>
      <c r="BK351" s="328">
        <v>244</v>
      </c>
      <c r="BL351" s="323">
        <v>0</v>
      </c>
      <c r="BM351" s="323">
        <v>1</v>
      </c>
      <c r="BN351" s="323">
        <v>2</v>
      </c>
      <c r="BO351" s="323">
        <v>4</v>
      </c>
      <c r="BP351" s="323">
        <v>3</v>
      </c>
      <c r="BQ351" s="323">
        <v>4</v>
      </c>
      <c r="BR351" s="323">
        <v>8</v>
      </c>
      <c r="BS351" s="323">
        <v>10</v>
      </c>
      <c r="BT351" s="323">
        <v>16</v>
      </c>
      <c r="BU351" s="323">
        <v>48</v>
      </c>
      <c r="BV351" s="329" t="s">
        <v>934</v>
      </c>
      <c r="BW351" s="330">
        <v>36</v>
      </c>
      <c r="BX351" s="330">
        <v>54</v>
      </c>
      <c r="BY351" s="330">
        <v>141</v>
      </c>
      <c r="BZ351" s="330">
        <v>202</v>
      </c>
      <c r="CA351" s="330">
        <v>124</v>
      </c>
      <c r="CB351" s="330">
        <v>81</v>
      </c>
      <c r="CC351" s="330">
        <v>114</v>
      </c>
      <c r="CD351" s="330">
        <v>46</v>
      </c>
      <c r="CE351" s="328">
        <v>798</v>
      </c>
      <c r="CF351" s="322" t="s">
        <v>934</v>
      </c>
      <c r="CG351" s="323">
        <v>0</v>
      </c>
      <c r="CH351" s="323">
        <v>0</v>
      </c>
      <c r="CI351" s="323">
        <v>0</v>
      </c>
      <c r="CJ351" s="323">
        <v>0</v>
      </c>
      <c r="CK351" s="323">
        <v>0</v>
      </c>
      <c r="CL351" s="323">
        <v>0</v>
      </c>
      <c r="CM351" s="323">
        <v>0</v>
      </c>
      <c r="CN351" s="323">
        <v>0</v>
      </c>
      <c r="CO351" s="323">
        <v>0</v>
      </c>
      <c r="CP351" s="329" t="s">
        <v>934</v>
      </c>
      <c r="CQ351" s="330">
        <v>0</v>
      </c>
      <c r="CR351" s="330">
        <v>0</v>
      </c>
      <c r="CS351" s="330">
        <v>0</v>
      </c>
      <c r="CT351" s="330">
        <v>0</v>
      </c>
      <c r="CU351" s="330">
        <v>0</v>
      </c>
      <c r="CV351" s="330">
        <v>0</v>
      </c>
      <c r="CW351" s="330">
        <v>0</v>
      </c>
      <c r="CX351" s="330">
        <v>0</v>
      </c>
      <c r="CY351" s="328">
        <v>0</v>
      </c>
      <c r="CZ351" s="322" t="s">
        <v>934</v>
      </c>
      <c r="DA351" s="323">
        <v>119</v>
      </c>
      <c r="DB351" s="323">
        <v>75</v>
      </c>
      <c r="DC351" s="323">
        <v>132</v>
      </c>
      <c r="DD351" s="323">
        <v>162</v>
      </c>
      <c r="DE351" s="323">
        <v>122</v>
      </c>
      <c r="DF351" s="323">
        <v>62</v>
      </c>
      <c r="DG351" s="323">
        <v>80</v>
      </c>
      <c r="DH351" s="323">
        <v>24</v>
      </c>
      <c r="DI351" s="323">
        <v>776</v>
      </c>
      <c r="DJ351" s="337">
        <v>666.7</v>
      </c>
      <c r="DK351" s="644">
        <v>64067.7</v>
      </c>
      <c r="DL351" s="616">
        <v>1614</v>
      </c>
      <c r="DM351" s="616">
        <v>3474</v>
      </c>
      <c r="DN351" s="616">
        <v>8642</v>
      </c>
      <c r="DO351" s="616">
        <v>15218</v>
      </c>
      <c r="DP351" s="616">
        <v>12552</v>
      </c>
      <c r="DQ351" s="616">
        <v>7731</v>
      </c>
      <c r="DR351" s="616">
        <v>9072</v>
      </c>
      <c r="DS351" s="617">
        <v>1467</v>
      </c>
      <c r="DT351" s="607">
        <f t="shared" si="5"/>
        <v>59770</v>
      </c>
      <c r="DU351" s="342"/>
      <c r="EC351" s="646"/>
      <c r="EF351" s="125"/>
      <c r="EG351" s="124"/>
    </row>
    <row r="352" spans="1:137" ht="15">
      <c r="A352" s="22">
        <v>344</v>
      </c>
      <c r="B352" s="23" t="s">
        <v>831</v>
      </c>
      <c r="C352" s="24" t="s">
        <v>832</v>
      </c>
      <c r="D352" s="613"/>
      <c r="E352" s="629">
        <v>58022</v>
      </c>
      <c r="F352" s="629">
        <v>29983</v>
      </c>
      <c r="G352" s="629">
        <v>27059</v>
      </c>
      <c r="H352" s="629">
        <v>12895</v>
      </c>
      <c r="I352" s="629">
        <v>8055</v>
      </c>
      <c r="J352" s="629">
        <v>4316</v>
      </c>
      <c r="K352" s="629">
        <v>3118</v>
      </c>
      <c r="L352" s="629">
        <v>254</v>
      </c>
      <c r="M352" s="627">
        <v>143702</v>
      </c>
      <c r="N352" s="322"/>
      <c r="O352" s="323">
        <v>2184</v>
      </c>
      <c r="P352" s="323">
        <v>669</v>
      </c>
      <c r="Q352" s="323">
        <v>421</v>
      </c>
      <c r="R352" s="323">
        <v>187</v>
      </c>
      <c r="S352" s="323">
        <v>110</v>
      </c>
      <c r="T352" s="323">
        <v>57</v>
      </c>
      <c r="U352" s="323">
        <v>38</v>
      </c>
      <c r="V352" s="323">
        <v>6</v>
      </c>
      <c r="W352" s="323">
        <v>3672</v>
      </c>
      <c r="X352" s="329" t="s">
        <v>934</v>
      </c>
      <c r="Y352" s="330">
        <v>0</v>
      </c>
      <c r="Z352" s="330">
        <v>0</v>
      </c>
      <c r="AA352" s="330">
        <v>0</v>
      </c>
      <c r="AB352" s="330">
        <v>0</v>
      </c>
      <c r="AC352" s="330">
        <v>0</v>
      </c>
      <c r="AD352" s="330">
        <v>0</v>
      </c>
      <c r="AE352" s="330">
        <v>0</v>
      </c>
      <c r="AF352" s="330">
        <v>0</v>
      </c>
      <c r="AG352" s="328">
        <v>0</v>
      </c>
      <c r="AH352" s="329" t="s">
        <v>934</v>
      </c>
      <c r="AI352" s="184">
        <v>103</v>
      </c>
      <c r="AJ352" s="184">
        <v>139</v>
      </c>
      <c r="AK352" s="184">
        <v>157</v>
      </c>
      <c r="AL352" s="184">
        <v>96</v>
      </c>
      <c r="AM352" s="184">
        <v>81</v>
      </c>
      <c r="AN352" s="184">
        <v>48</v>
      </c>
      <c r="AO352" s="184">
        <v>46</v>
      </c>
      <c r="AP352" s="184">
        <v>15</v>
      </c>
      <c r="AQ352" s="336">
        <v>685</v>
      </c>
      <c r="AR352" s="323">
        <v>26</v>
      </c>
      <c r="AS352" s="323">
        <v>27797</v>
      </c>
      <c r="AT352" s="323">
        <v>10900</v>
      </c>
      <c r="AU352" s="323">
        <v>7764</v>
      </c>
      <c r="AV352" s="323">
        <v>3113</v>
      </c>
      <c r="AW352" s="323">
        <v>1607</v>
      </c>
      <c r="AX352" s="323">
        <v>785</v>
      </c>
      <c r="AY352" s="323">
        <v>423</v>
      </c>
      <c r="AZ352" s="323">
        <v>31</v>
      </c>
      <c r="BA352" s="323">
        <v>52446</v>
      </c>
      <c r="BB352" s="331">
        <v>0</v>
      </c>
      <c r="BC352" s="330">
        <v>328</v>
      </c>
      <c r="BD352" s="330">
        <v>232</v>
      </c>
      <c r="BE352" s="330">
        <v>221</v>
      </c>
      <c r="BF352" s="330">
        <v>95</v>
      </c>
      <c r="BG352" s="330">
        <v>60</v>
      </c>
      <c r="BH352" s="330">
        <v>25</v>
      </c>
      <c r="BI352" s="330">
        <v>17</v>
      </c>
      <c r="BJ352" s="330">
        <v>3</v>
      </c>
      <c r="BK352" s="328">
        <v>981</v>
      </c>
      <c r="BL352" s="323">
        <v>0</v>
      </c>
      <c r="BM352" s="323">
        <v>41</v>
      </c>
      <c r="BN352" s="323">
        <v>29</v>
      </c>
      <c r="BO352" s="323">
        <v>33</v>
      </c>
      <c r="BP352" s="323">
        <v>40</v>
      </c>
      <c r="BQ352" s="323">
        <v>35</v>
      </c>
      <c r="BR352" s="323">
        <v>33</v>
      </c>
      <c r="BS352" s="323">
        <v>50</v>
      </c>
      <c r="BT352" s="323">
        <v>34</v>
      </c>
      <c r="BU352" s="323">
        <v>295</v>
      </c>
      <c r="BV352" s="329" t="s">
        <v>934</v>
      </c>
      <c r="BW352" s="330">
        <v>220</v>
      </c>
      <c r="BX352" s="330">
        <v>127</v>
      </c>
      <c r="BY352" s="330">
        <v>107</v>
      </c>
      <c r="BZ352" s="330">
        <v>61</v>
      </c>
      <c r="CA352" s="330">
        <v>29</v>
      </c>
      <c r="CB352" s="330">
        <v>14</v>
      </c>
      <c r="CC352" s="330">
        <v>13</v>
      </c>
      <c r="CD352" s="330">
        <v>2</v>
      </c>
      <c r="CE352" s="328">
        <v>573</v>
      </c>
      <c r="CF352" s="322" t="s">
        <v>934</v>
      </c>
      <c r="CG352" s="323">
        <v>1860</v>
      </c>
      <c r="CH352" s="323">
        <v>405</v>
      </c>
      <c r="CI352" s="323">
        <v>315</v>
      </c>
      <c r="CJ352" s="323">
        <v>129</v>
      </c>
      <c r="CK352" s="323">
        <v>98</v>
      </c>
      <c r="CL352" s="323">
        <v>52</v>
      </c>
      <c r="CM352" s="323">
        <v>32</v>
      </c>
      <c r="CN352" s="323">
        <v>2</v>
      </c>
      <c r="CO352" s="323">
        <v>2893</v>
      </c>
      <c r="CP352" s="329" t="s">
        <v>934</v>
      </c>
      <c r="CQ352" s="330">
        <v>0</v>
      </c>
      <c r="CR352" s="330">
        <v>0</v>
      </c>
      <c r="CS352" s="330">
        <v>0</v>
      </c>
      <c r="CT352" s="330">
        <v>0</v>
      </c>
      <c r="CU352" s="330">
        <v>0</v>
      </c>
      <c r="CV352" s="330">
        <v>0</v>
      </c>
      <c r="CW352" s="330">
        <v>0</v>
      </c>
      <c r="CX352" s="330">
        <v>0</v>
      </c>
      <c r="CY352" s="328">
        <v>0</v>
      </c>
      <c r="CZ352" s="322" t="s">
        <v>934</v>
      </c>
      <c r="DA352" s="323">
        <v>0</v>
      </c>
      <c r="DB352" s="323">
        <v>0</v>
      </c>
      <c r="DC352" s="323">
        <v>0</v>
      </c>
      <c r="DD352" s="323">
        <v>0</v>
      </c>
      <c r="DE352" s="323">
        <v>0</v>
      </c>
      <c r="DF352" s="323">
        <v>0</v>
      </c>
      <c r="DG352" s="323">
        <v>0</v>
      </c>
      <c r="DH352" s="323">
        <v>0</v>
      </c>
      <c r="DI352" s="323">
        <v>0</v>
      </c>
      <c r="DJ352" s="337">
        <v>0</v>
      </c>
      <c r="DK352" s="644">
        <v>105843.9</v>
      </c>
      <c r="DL352" s="616">
        <v>58422</v>
      </c>
      <c r="DM352" s="616">
        <v>30383</v>
      </c>
      <c r="DN352" s="616">
        <v>27005</v>
      </c>
      <c r="DO352" s="616">
        <v>12912</v>
      </c>
      <c r="DP352" s="616">
        <v>8043</v>
      </c>
      <c r="DQ352" s="616">
        <v>4295</v>
      </c>
      <c r="DR352" s="616">
        <v>3111</v>
      </c>
      <c r="DS352" s="617">
        <v>259</v>
      </c>
      <c r="DT352" s="607">
        <f t="shared" si="5"/>
        <v>144430</v>
      </c>
      <c r="DU352" s="342"/>
      <c r="EC352" s="646"/>
      <c r="EF352" s="130"/>
      <c r="EG352" s="124"/>
    </row>
    <row r="353" spans="1:137" ht="15">
      <c r="A353" s="22">
        <v>345</v>
      </c>
      <c r="B353" s="23" t="s">
        <v>833</v>
      </c>
      <c r="C353" s="24" t="s">
        <v>834</v>
      </c>
      <c r="D353" s="613"/>
      <c r="E353" s="628">
        <v>315</v>
      </c>
      <c r="F353" s="628">
        <v>3037</v>
      </c>
      <c r="G353" s="628">
        <v>9446</v>
      </c>
      <c r="H353" s="628">
        <v>11003</v>
      </c>
      <c r="I353" s="628">
        <v>5869</v>
      </c>
      <c r="J353" s="628">
        <v>4017</v>
      </c>
      <c r="K353" s="628">
        <v>4942</v>
      </c>
      <c r="L353" s="628">
        <v>632</v>
      </c>
      <c r="M353" s="627">
        <v>39261</v>
      </c>
      <c r="N353" s="322"/>
      <c r="O353" s="323">
        <v>25</v>
      </c>
      <c r="P353" s="323">
        <v>148</v>
      </c>
      <c r="Q353" s="323">
        <v>295</v>
      </c>
      <c r="R353" s="323">
        <v>198</v>
      </c>
      <c r="S353" s="323">
        <v>115</v>
      </c>
      <c r="T353" s="323">
        <v>98</v>
      </c>
      <c r="U353" s="323">
        <v>72</v>
      </c>
      <c r="V353" s="323">
        <v>13</v>
      </c>
      <c r="W353" s="323">
        <v>964</v>
      </c>
      <c r="X353" s="329" t="s">
        <v>934</v>
      </c>
      <c r="Y353" s="330">
        <v>0</v>
      </c>
      <c r="Z353" s="330">
        <v>0</v>
      </c>
      <c r="AA353" s="330">
        <v>0</v>
      </c>
      <c r="AB353" s="330">
        <v>0</v>
      </c>
      <c r="AC353" s="330">
        <v>0</v>
      </c>
      <c r="AD353" s="330">
        <v>0</v>
      </c>
      <c r="AE353" s="330">
        <v>0</v>
      </c>
      <c r="AF353" s="330">
        <v>0</v>
      </c>
      <c r="AG353" s="328">
        <v>0</v>
      </c>
      <c r="AH353" s="329" t="s">
        <v>934</v>
      </c>
      <c r="AI353" s="184">
        <v>0</v>
      </c>
      <c r="AJ353" s="184">
        <v>9</v>
      </c>
      <c r="AK353" s="184">
        <v>45</v>
      </c>
      <c r="AL353" s="184">
        <v>75</v>
      </c>
      <c r="AM353" s="184">
        <v>33</v>
      </c>
      <c r="AN353" s="184">
        <v>34</v>
      </c>
      <c r="AO353" s="184">
        <v>36</v>
      </c>
      <c r="AP353" s="184">
        <v>18</v>
      </c>
      <c r="AQ353" s="336">
        <v>250</v>
      </c>
      <c r="AR353" s="323">
        <v>0</v>
      </c>
      <c r="AS353" s="323">
        <v>138</v>
      </c>
      <c r="AT353" s="323">
        <v>2040</v>
      </c>
      <c r="AU353" s="323">
        <v>3948</v>
      </c>
      <c r="AV353" s="323">
        <v>3215</v>
      </c>
      <c r="AW353" s="323">
        <v>1346</v>
      </c>
      <c r="AX353" s="323">
        <v>675</v>
      </c>
      <c r="AY353" s="323">
        <v>562</v>
      </c>
      <c r="AZ353" s="323">
        <v>53</v>
      </c>
      <c r="BA353" s="323">
        <v>11977</v>
      </c>
      <c r="BB353" s="331">
        <v>0</v>
      </c>
      <c r="BC353" s="330">
        <v>1</v>
      </c>
      <c r="BD353" s="330">
        <v>10</v>
      </c>
      <c r="BE353" s="330">
        <v>68</v>
      </c>
      <c r="BF353" s="330">
        <v>69</v>
      </c>
      <c r="BG353" s="330">
        <v>32</v>
      </c>
      <c r="BH353" s="330">
        <v>21</v>
      </c>
      <c r="BI353" s="330">
        <v>17</v>
      </c>
      <c r="BJ353" s="330">
        <v>1</v>
      </c>
      <c r="BK353" s="328">
        <v>219</v>
      </c>
      <c r="BL353" s="323">
        <v>0</v>
      </c>
      <c r="BM353" s="323">
        <v>2</v>
      </c>
      <c r="BN353" s="323">
        <v>5</v>
      </c>
      <c r="BO353" s="323">
        <v>4</v>
      </c>
      <c r="BP353" s="323">
        <v>10</v>
      </c>
      <c r="BQ353" s="323">
        <v>6</v>
      </c>
      <c r="BR353" s="323">
        <v>9</v>
      </c>
      <c r="BS353" s="323">
        <v>20</v>
      </c>
      <c r="BT353" s="323">
        <v>5</v>
      </c>
      <c r="BU353" s="323">
        <v>61</v>
      </c>
      <c r="BV353" s="329" t="s">
        <v>934</v>
      </c>
      <c r="BW353" s="330">
        <v>4</v>
      </c>
      <c r="BX353" s="330">
        <v>25</v>
      </c>
      <c r="BY353" s="330">
        <v>108</v>
      </c>
      <c r="BZ353" s="330">
        <v>63</v>
      </c>
      <c r="CA353" s="330">
        <v>44</v>
      </c>
      <c r="CB353" s="330">
        <v>16</v>
      </c>
      <c r="CC353" s="330">
        <v>30</v>
      </c>
      <c r="CD353" s="330">
        <v>4</v>
      </c>
      <c r="CE353" s="328">
        <v>294</v>
      </c>
      <c r="CF353" s="322" t="s">
        <v>934</v>
      </c>
      <c r="CG353" s="323">
        <v>4</v>
      </c>
      <c r="CH353" s="323">
        <v>66</v>
      </c>
      <c r="CI353" s="323">
        <v>113</v>
      </c>
      <c r="CJ353" s="323">
        <v>92</v>
      </c>
      <c r="CK353" s="323">
        <v>31</v>
      </c>
      <c r="CL353" s="323">
        <v>18</v>
      </c>
      <c r="CM353" s="323">
        <v>18</v>
      </c>
      <c r="CN353" s="323">
        <v>7</v>
      </c>
      <c r="CO353" s="323">
        <v>349</v>
      </c>
      <c r="CP353" s="329" t="s">
        <v>934</v>
      </c>
      <c r="CQ353" s="330">
        <v>0</v>
      </c>
      <c r="CR353" s="330">
        <v>0</v>
      </c>
      <c r="CS353" s="330">
        <v>0</v>
      </c>
      <c r="CT353" s="330">
        <v>0</v>
      </c>
      <c r="CU353" s="330">
        <v>0</v>
      </c>
      <c r="CV353" s="330">
        <v>0</v>
      </c>
      <c r="CW353" s="330">
        <v>0</v>
      </c>
      <c r="CX353" s="330">
        <v>0</v>
      </c>
      <c r="CY353" s="328">
        <v>0</v>
      </c>
      <c r="CZ353" s="322" t="s">
        <v>934</v>
      </c>
      <c r="DA353" s="323">
        <v>0</v>
      </c>
      <c r="DB353" s="323">
        <v>0</v>
      </c>
      <c r="DC353" s="323">
        <v>0</v>
      </c>
      <c r="DD353" s="323">
        <v>0</v>
      </c>
      <c r="DE353" s="323">
        <v>0</v>
      </c>
      <c r="DF353" s="323">
        <v>0</v>
      </c>
      <c r="DG353" s="323">
        <v>0</v>
      </c>
      <c r="DH353" s="323">
        <v>0</v>
      </c>
      <c r="DI353" s="323">
        <v>0</v>
      </c>
      <c r="DJ353" s="337">
        <v>132</v>
      </c>
      <c r="DK353" s="644">
        <v>40064.2</v>
      </c>
      <c r="DL353" s="614">
        <v>316</v>
      </c>
      <c r="DM353" s="614">
        <v>3118</v>
      </c>
      <c r="DN353" s="614">
        <v>9636</v>
      </c>
      <c r="DO353" s="614">
        <v>11106</v>
      </c>
      <c r="DP353" s="614">
        <v>5871</v>
      </c>
      <c r="DQ353" s="614">
        <v>4039</v>
      </c>
      <c r="DR353" s="614">
        <v>4910</v>
      </c>
      <c r="DS353" s="615">
        <v>636</v>
      </c>
      <c r="DT353" s="607">
        <f t="shared" si="5"/>
        <v>39632</v>
      </c>
      <c r="DU353" s="342"/>
      <c r="EC353" s="646"/>
      <c r="EF353" s="126"/>
      <c r="EG353" s="124"/>
    </row>
    <row r="354" spans="1:137" ht="15">
      <c r="A354" s="22">
        <v>346</v>
      </c>
      <c r="B354" s="23" t="s">
        <v>835</v>
      </c>
      <c r="C354" s="24" t="s">
        <v>836</v>
      </c>
      <c r="D354" s="613"/>
      <c r="E354" s="629">
        <v>1609</v>
      </c>
      <c r="F354" s="629">
        <v>3214</v>
      </c>
      <c r="G354" s="629">
        <v>8899</v>
      </c>
      <c r="H354" s="629">
        <v>17107</v>
      </c>
      <c r="I354" s="629">
        <v>14109</v>
      </c>
      <c r="J354" s="629">
        <v>9193</v>
      </c>
      <c r="K354" s="629">
        <v>5543</v>
      </c>
      <c r="L354" s="629">
        <v>406</v>
      </c>
      <c r="M354" s="627">
        <v>60080</v>
      </c>
      <c r="N354" s="322"/>
      <c r="O354" s="323">
        <v>118</v>
      </c>
      <c r="P354" s="323">
        <v>138</v>
      </c>
      <c r="Q354" s="323">
        <v>511</v>
      </c>
      <c r="R354" s="323">
        <v>308</v>
      </c>
      <c r="S354" s="323">
        <v>216</v>
      </c>
      <c r="T354" s="323">
        <v>107</v>
      </c>
      <c r="U354" s="323">
        <v>80</v>
      </c>
      <c r="V354" s="323">
        <v>19</v>
      </c>
      <c r="W354" s="323">
        <v>1497</v>
      </c>
      <c r="X354" s="329" t="s">
        <v>934</v>
      </c>
      <c r="Y354" s="330">
        <v>0</v>
      </c>
      <c r="Z354" s="330">
        <v>0</v>
      </c>
      <c r="AA354" s="330">
        <v>0</v>
      </c>
      <c r="AB354" s="330">
        <v>0</v>
      </c>
      <c r="AC354" s="330">
        <v>0</v>
      </c>
      <c r="AD354" s="330">
        <v>0</v>
      </c>
      <c r="AE354" s="330">
        <v>0</v>
      </c>
      <c r="AF354" s="330">
        <v>0</v>
      </c>
      <c r="AG354" s="328">
        <v>0</v>
      </c>
      <c r="AH354" s="329" t="s">
        <v>934</v>
      </c>
      <c r="AI354" s="184">
        <v>3</v>
      </c>
      <c r="AJ354" s="184">
        <v>18</v>
      </c>
      <c r="AK354" s="184">
        <v>45</v>
      </c>
      <c r="AL354" s="184">
        <v>85</v>
      </c>
      <c r="AM354" s="184">
        <v>98</v>
      </c>
      <c r="AN354" s="184">
        <v>50</v>
      </c>
      <c r="AO354" s="184">
        <v>32</v>
      </c>
      <c r="AP354" s="184">
        <v>16</v>
      </c>
      <c r="AQ354" s="336">
        <v>347</v>
      </c>
      <c r="AR354" s="323">
        <v>2</v>
      </c>
      <c r="AS354" s="323">
        <v>709</v>
      </c>
      <c r="AT354" s="323">
        <v>1895</v>
      </c>
      <c r="AU354" s="323">
        <v>3564</v>
      </c>
      <c r="AV354" s="323">
        <v>4738</v>
      </c>
      <c r="AW354" s="323">
        <v>2583</v>
      </c>
      <c r="AX354" s="323">
        <v>1151</v>
      </c>
      <c r="AY354" s="323">
        <v>510</v>
      </c>
      <c r="AZ354" s="323">
        <v>35</v>
      </c>
      <c r="BA354" s="323">
        <v>15187</v>
      </c>
      <c r="BB354" s="331">
        <v>0</v>
      </c>
      <c r="BC354" s="330">
        <v>6</v>
      </c>
      <c r="BD354" s="330">
        <v>12</v>
      </c>
      <c r="BE354" s="330">
        <v>53</v>
      </c>
      <c r="BF354" s="330">
        <v>82</v>
      </c>
      <c r="BG354" s="330">
        <v>64</v>
      </c>
      <c r="BH354" s="330">
        <v>49</v>
      </c>
      <c r="BI354" s="330">
        <v>25</v>
      </c>
      <c r="BJ354" s="330">
        <v>0</v>
      </c>
      <c r="BK354" s="328">
        <v>291</v>
      </c>
      <c r="BL354" s="323">
        <v>0</v>
      </c>
      <c r="BM354" s="323">
        <v>2</v>
      </c>
      <c r="BN354" s="323">
        <v>1</v>
      </c>
      <c r="BO354" s="323">
        <v>6</v>
      </c>
      <c r="BP354" s="323">
        <v>3</v>
      </c>
      <c r="BQ354" s="323">
        <v>6</v>
      </c>
      <c r="BR354" s="323">
        <v>6</v>
      </c>
      <c r="BS354" s="323">
        <v>13</v>
      </c>
      <c r="BT354" s="323">
        <v>4</v>
      </c>
      <c r="BU354" s="323">
        <v>41</v>
      </c>
      <c r="BV354" s="329" t="s">
        <v>934</v>
      </c>
      <c r="BW354" s="330">
        <v>36</v>
      </c>
      <c r="BX354" s="330">
        <v>34</v>
      </c>
      <c r="BY354" s="330">
        <v>63</v>
      </c>
      <c r="BZ354" s="330">
        <v>75</v>
      </c>
      <c r="CA354" s="330">
        <v>55</v>
      </c>
      <c r="CB354" s="330">
        <v>34</v>
      </c>
      <c r="CC354" s="330">
        <v>39</v>
      </c>
      <c r="CD354" s="330">
        <v>11</v>
      </c>
      <c r="CE354" s="328">
        <v>347</v>
      </c>
      <c r="CF354" s="322" t="s">
        <v>934</v>
      </c>
      <c r="CG354" s="323">
        <v>43</v>
      </c>
      <c r="CH354" s="323">
        <v>34</v>
      </c>
      <c r="CI354" s="323">
        <v>73</v>
      </c>
      <c r="CJ354" s="323">
        <v>67</v>
      </c>
      <c r="CK354" s="323">
        <v>60</v>
      </c>
      <c r="CL354" s="323">
        <v>26</v>
      </c>
      <c r="CM354" s="323">
        <v>36</v>
      </c>
      <c r="CN354" s="323">
        <v>2</v>
      </c>
      <c r="CO354" s="323">
        <v>341</v>
      </c>
      <c r="CP354" s="329" t="s">
        <v>934</v>
      </c>
      <c r="CQ354" s="330">
        <v>0</v>
      </c>
      <c r="CR354" s="330">
        <v>0</v>
      </c>
      <c r="CS354" s="330">
        <v>0</v>
      </c>
      <c r="CT354" s="330">
        <v>0</v>
      </c>
      <c r="CU354" s="330">
        <v>0</v>
      </c>
      <c r="CV354" s="330">
        <v>0</v>
      </c>
      <c r="CW354" s="330">
        <v>0</v>
      </c>
      <c r="CX354" s="330">
        <v>0</v>
      </c>
      <c r="CY354" s="328">
        <v>0</v>
      </c>
      <c r="CZ354" s="322" t="s">
        <v>934</v>
      </c>
      <c r="DA354" s="323">
        <v>0</v>
      </c>
      <c r="DB354" s="323">
        <v>0</v>
      </c>
      <c r="DC354" s="323">
        <v>0</v>
      </c>
      <c r="DD354" s="323">
        <v>0</v>
      </c>
      <c r="DE354" s="323">
        <v>0</v>
      </c>
      <c r="DF354" s="323">
        <v>0</v>
      </c>
      <c r="DG354" s="323">
        <v>0</v>
      </c>
      <c r="DH354" s="323">
        <v>0</v>
      </c>
      <c r="DI354" s="323">
        <v>0</v>
      </c>
      <c r="DJ354" s="337">
        <v>338.8</v>
      </c>
      <c r="DK354" s="644">
        <v>63522.1</v>
      </c>
      <c r="DL354" s="616">
        <v>1637</v>
      </c>
      <c r="DM354" s="616">
        <v>3273</v>
      </c>
      <c r="DN354" s="616">
        <v>9134</v>
      </c>
      <c r="DO354" s="616">
        <v>17366</v>
      </c>
      <c r="DP354" s="616">
        <v>14320</v>
      </c>
      <c r="DQ354" s="616">
        <v>9294</v>
      </c>
      <c r="DR354" s="616">
        <v>5668</v>
      </c>
      <c r="DS354" s="617">
        <v>421</v>
      </c>
      <c r="DT354" s="607">
        <f t="shared" si="5"/>
        <v>61113</v>
      </c>
      <c r="DU354" s="342"/>
      <c r="EC354" s="646"/>
      <c r="EF354" s="125"/>
      <c r="EG354" s="124"/>
    </row>
    <row r="355" spans="1:137" ht="15">
      <c r="A355" s="22">
        <v>347</v>
      </c>
      <c r="B355" s="23" t="s">
        <v>837</v>
      </c>
      <c r="C355" s="24" t="s">
        <v>838</v>
      </c>
      <c r="D355" s="613"/>
      <c r="E355" s="628">
        <v>54990</v>
      </c>
      <c r="F355" s="628">
        <v>22225</v>
      </c>
      <c r="G355" s="628">
        <v>15394</v>
      </c>
      <c r="H355" s="628">
        <v>6097</v>
      </c>
      <c r="I355" s="628">
        <v>2854</v>
      </c>
      <c r="J355" s="628">
        <v>1661</v>
      </c>
      <c r="K355" s="628">
        <v>888</v>
      </c>
      <c r="L355" s="628">
        <v>112</v>
      </c>
      <c r="M355" s="627">
        <v>104221</v>
      </c>
      <c r="N355" s="322"/>
      <c r="O355" s="323">
        <v>2322</v>
      </c>
      <c r="P355" s="323">
        <v>813</v>
      </c>
      <c r="Q355" s="323">
        <v>378</v>
      </c>
      <c r="R355" s="323">
        <v>104</v>
      </c>
      <c r="S355" s="323">
        <v>56</v>
      </c>
      <c r="T355" s="323">
        <v>37</v>
      </c>
      <c r="U355" s="323">
        <v>34</v>
      </c>
      <c r="V355" s="323">
        <v>5</v>
      </c>
      <c r="W355" s="323">
        <v>3749</v>
      </c>
      <c r="X355" s="329" t="s">
        <v>934</v>
      </c>
      <c r="Y355" s="330">
        <v>46</v>
      </c>
      <c r="Z355" s="330">
        <v>0</v>
      </c>
      <c r="AA355" s="330">
        <v>0</v>
      </c>
      <c r="AB355" s="330">
        <v>0</v>
      </c>
      <c r="AC355" s="330">
        <v>0</v>
      </c>
      <c r="AD355" s="330">
        <v>0</v>
      </c>
      <c r="AE355" s="330">
        <v>0</v>
      </c>
      <c r="AF355" s="330">
        <v>0</v>
      </c>
      <c r="AG355" s="328">
        <v>46</v>
      </c>
      <c r="AH355" s="329" t="s">
        <v>934</v>
      </c>
      <c r="AI355" s="184">
        <v>87</v>
      </c>
      <c r="AJ355" s="184">
        <v>134</v>
      </c>
      <c r="AK355" s="184">
        <v>87</v>
      </c>
      <c r="AL355" s="184">
        <v>54</v>
      </c>
      <c r="AM355" s="184">
        <v>24</v>
      </c>
      <c r="AN355" s="184">
        <v>16</v>
      </c>
      <c r="AO355" s="184">
        <v>19</v>
      </c>
      <c r="AP355" s="184">
        <v>19</v>
      </c>
      <c r="AQ355" s="336">
        <v>440</v>
      </c>
      <c r="AR355" s="323">
        <v>18</v>
      </c>
      <c r="AS355" s="323">
        <v>21694</v>
      </c>
      <c r="AT355" s="323">
        <v>6221</v>
      </c>
      <c r="AU355" s="323">
        <v>3372</v>
      </c>
      <c r="AV355" s="323">
        <v>1251</v>
      </c>
      <c r="AW355" s="323">
        <v>535</v>
      </c>
      <c r="AX355" s="323">
        <v>264</v>
      </c>
      <c r="AY355" s="323">
        <v>85</v>
      </c>
      <c r="AZ355" s="323">
        <v>6</v>
      </c>
      <c r="BA355" s="323">
        <v>33446</v>
      </c>
      <c r="BB355" s="331">
        <v>3</v>
      </c>
      <c r="BC355" s="330">
        <v>386</v>
      </c>
      <c r="BD355" s="330">
        <v>180</v>
      </c>
      <c r="BE355" s="330">
        <v>110</v>
      </c>
      <c r="BF355" s="330">
        <v>41</v>
      </c>
      <c r="BG355" s="330">
        <v>12</v>
      </c>
      <c r="BH355" s="330">
        <v>8</v>
      </c>
      <c r="BI355" s="330">
        <v>4</v>
      </c>
      <c r="BJ355" s="330">
        <v>0</v>
      </c>
      <c r="BK355" s="328">
        <v>744</v>
      </c>
      <c r="BL355" s="323">
        <v>0</v>
      </c>
      <c r="BM355" s="323">
        <v>12</v>
      </c>
      <c r="BN355" s="323">
        <v>9</v>
      </c>
      <c r="BO355" s="323">
        <v>8</v>
      </c>
      <c r="BP355" s="323">
        <v>9</v>
      </c>
      <c r="BQ355" s="323">
        <v>11</v>
      </c>
      <c r="BR355" s="323">
        <v>17</v>
      </c>
      <c r="BS355" s="323">
        <v>25</v>
      </c>
      <c r="BT355" s="323">
        <v>14</v>
      </c>
      <c r="BU355" s="323">
        <v>105</v>
      </c>
      <c r="BV355" s="329" t="s">
        <v>934</v>
      </c>
      <c r="BW355" s="330">
        <v>120</v>
      </c>
      <c r="BX355" s="330">
        <v>50</v>
      </c>
      <c r="BY355" s="330">
        <v>21</v>
      </c>
      <c r="BZ355" s="330">
        <v>5</v>
      </c>
      <c r="CA355" s="330">
        <v>6</v>
      </c>
      <c r="CB355" s="330">
        <v>2</v>
      </c>
      <c r="CC355" s="330">
        <v>1</v>
      </c>
      <c r="CD355" s="330">
        <v>0</v>
      </c>
      <c r="CE355" s="328">
        <v>205</v>
      </c>
      <c r="CF355" s="322" t="s">
        <v>934</v>
      </c>
      <c r="CG355" s="323">
        <v>1643</v>
      </c>
      <c r="CH355" s="323">
        <v>461</v>
      </c>
      <c r="CI355" s="323">
        <v>269</v>
      </c>
      <c r="CJ355" s="323">
        <v>80</v>
      </c>
      <c r="CK355" s="323">
        <v>45</v>
      </c>
      <c r="CL355" s="323">
        <v>10</v>
      </c>
      <c r="CM355" s="323">
        <v>11</v>
      </c>
      <c r="CN355" s="323">
        <v>5</v>
      </c>
      <c r="CO355" s="323">
        <v>2524</v>
      </c>
      <c r="CP355" s="329" t="s">
        <v>934</v>
      </c>
      <c r="CQ355" s="330">
        <v>0</v>
      </c>
      <c r="CR355" s="330">
        <v>0</v>
      </c>
      <c r="CS355" s="330">
        <v>0</v>
      </c>
      <c r="CT355" s="330">
        <v>0</v>
      </c>
      <c r="CU355" s="330">
        <v>0</v>
      </c>
      <c r="CV355" s="330">
        <v>0</v>
      </c>
      <c r="CW355" s="330">
        <v>0</v>
      </c>
      <c r="CX355" s="330">
        <v>0</v>
      </c>
      <c r="CY355" s="328">
        <v>0</v>
      </c>
      <c r="CZ355" s="322" t="s">
        <v>934</v>
      </c>
      <c r="DA355" s="323">
        <v>0</v>
      </c>
      <c r="DB355" s="323">
        <v>0</v>
      </c>
      <c r="DC355" s="323">
        <v>0</v>
      </c>
      <c r="DD355" s="323">
        <v>0</v>
      </c>
      <c r="DE355" s="323">
        <v>0</v>
      </c>
      <c r="DF355" s="323">
        <v>0</v>
      </c>
      <c r="DG355" s="323">
        <v>0</v>
      </c>
      <c r="DH355" s="323">
        <v>0</v>
      </c>
      <c r="DI355" s="323">
        <v>0</v>
      </c>
      <c r="DJ355" s="337">
        <v>0</v>
      </c>
      <c r="DK355" s="644">
        <v>71007.1</v>
      </c>
      <c r="DL355" s="614">
        <v>54970</v>
      </c>
      <c r="DM355" s="614">
        <v>22396</v>
      </c>
      <c r="DN355" s="614">
        <v>15455</v>
      </c>
      <c r="DO355" s="614">
        <v>6144</v>
      </c>
      <c r="DP355" s="614">
        <v>2874</v>
      </c>
      <c r="DQ355" s="614">
        <v>1646</v>
      </c>
      <c r="DR355" s="614">
        <v>884</v>
      </c>
      <c r="DS355" s="615">
        <v>116</v>
      </c>
      <c r="DT355" s="607">
        <f t="shared" si="5"/>
        <v>104485</v>
      </c>
      <c r="DU355" s="342"/>
      <c r="EC355" s="646"/>
      <c r="EF355" s="126"/>
      <c r="EG355" s="124"/>
    </row>
    <row r="356" spans="1:137" ht="15">
      <c r="A356" s="22">
        <v>348</v>
      </c>
      <c r="B356" s="23" t="s">
        <v>839</v>
      </c>
      <c r="C356" s="24" t="s">
        <v>840</v>
      </c>
      <c r="D356" s="613"/>
      <c r="E356" s="636">
        <v>7757</v>
      </c>
      <c r="F356" s="636">
        <v>13658</v>
      </c>
      <c r="G356" s="636">
        <v>10602</v>
      </c>
      <c r="H356" s="636">
        <v>4907</v>
      </c>
      <c r="I356" s="636">
        <v>3112</v>
      </c>
      <c r="J356" s="636">
        <v>1238</v>
      </c>
      <c r="K356" s="636">
        <v>372</v>
      </c>
      <c r="L356" s="636">
        <v>9</v>
      </c>
      <c r="M356" s="627">
        <v>41655</v>
      </c>
      <c r="N356" s="322"/>
      <c r="O356" s="323">
        <v>332</v>
      </c>
      <c r="P356" s="323">
        <v>461</v>
      </c>
      <c r="Q356" s="323">
        <v>250</v>
      </c>
      <c r="R356" s="323">
        <v>80</v>
      </c>
      <c r="S356" s="323">
        <v>34</v>
      </c>
      <c r="T356" s="323">
        <v>11</v>
      </c>
      <c r="U356" s="323">
        <v>9</v>
      </c>
      <c r="V356" s="323">
        <v>2</v>
      </c>
      <c r="W356" s="323">
        <v>1179</v>
      </c>
      <c r="X356" s="329" t="s">
        <v>934</v>
      </c>
      <c r="Y356" s="330">
        <v>0</v>
      </c>
      <c r="Z356" s="330">
        <v>1</v>
      </c>
      <c r="AA356" s="330">
        <v>0</v>
      </c>
      <c r="AB356" s="330">
        <v>0</v>
      </c>
      <c r="AC356" s="330">
        <v>0</v>
      </c>
      <c r="AD356" s="330">
        <v>1</v>
      </c>
      <c r="AE356" s="330">
        <v>0</v>
      </c>
      <c r="AF356" s="330">
        <v>0</v>
      </c>
      <c r="AG356" s="328">
        <v>2</v>
      </c>
      <c r="AH356" s="329" t="s">
        <v>934</v>
      </c>
      <c r="AI356" s="184">
        <v>7</v>
      </c>
      <c r="AJ356" s="184">
        <v>45</v>
      </c>
      <c r="AK356" s="184">
        <v>66</v>
      </c>
      <c r="AL356" s="184">
        <v>35</v>
      </c>
      <c r="AM356" s="184">
        <v>31</v>
      </c>
      <c r="AN356" s="184">
        <v>10</v>
      </c>
      <c r="AO356" s="184">
        <v>6</v>
      </c>
      <c r="AP356" s="184">
        <v>2</v>
      </c>
      <c r="AQ356" s="336">
        <v>202</v>
      </c>
      <c r="AR356" s="323">
        <v>4</v>
      </c>
      <c r="AS356" s="323">
        <v>4364</v>
      </c>
      <c r="AT356" s="323">
        <v>4747</v>
      </c>
      <c r="AU356" s="323">
        <v>2966</v>
      </c>
      <c r="AV356" s="323">
        <v>1065</v>
      </c>
      <c r="AW356" s="323">
        <v>492</v>
      </c>
      <c r="AX356" s="323">
        <v>154</v>
      </c>
      <c r="AY356" s="323">
        <v>40</v>
      </c>
      <c r="AZ356" s="323">
        <v>0</v>
      </c>
      <c r="BA356" s="323">
        <v>13832</v>
      </c>
      <c r="BB356" s="331">
        <v>0</v>
      </c>
      <c r="BC356" s="330">
        <v>55</v>
      </c>
      <c r="BD356" s="330">
        <v>124</v>
      </c>
      <c r="BE356" s="330">
        <v>67</v>
      </c>
      <c r="BF356" s="330">
        <v>29</v>
      </c>
      <c r="BG356" s="330">
        <v>18</v>
      </c>
      <c r="BH356" s="330">
        <v>7</v>
      </c>
      <c r="BI356" s="330">
        <v>1</v>
      </c>
      <c r="BJ356" s="330">
        <v>0</v>
      </c>
      <c r="BK356" s="328">
        <v>301</v>
      </c>
      <c r="BL356" s="323">
        <v>0</v>
      </c>
      <c r="BM356" s="323">
        <v>5</v>
      </c>
      <c r="BN356" s="323">
        <v>5</v>
      </c>
      <c r="BO356" s="323">
        <v>6</v>
      </c>
      <c r="BP356" s="323">
        <v>4</v>
      </c>
      <c r="BQ356" s="323">
        <v>2</v>
      </c>
      <c r="BR356" s="323">
        <v>6</v>
      </c>
      <c r="BS356" s="323">
        <v>13</v>
      </c>
      <c r="BT356" s="323">
        <v>4</v>
      </c>
      <c r="BU356" s="323">
        <v>45</v>
      </c>
      <c r="BV356" s="329" t="s">
        <v>934</v>
      </c>
      <c r="BW356" s="330">
        <v>65</v>
      </c>
      <c r="BX356" s="330">
        <v>57</v>
      </c>
      <c r="BY356" s="330">
        <v>42</v>
      </c>
      <c r="BZ356" s="330">
        <v>23</v>
      </c>
      <c r="CA356" s="330">
        <v>10</v>
      </c>
      <c r="CB356" s="330">
        <v>5</v>
      </c>
      <c r="CC356" s="330">
        <v>2</v>
      </c>
      <c r="CD356" s="330">
        <v>0</v>
      </c>
      <c r="CE356" s="328">
        <v>204</v>
      </c>
      <c r="CF356" s="322" t="s">
        <v>934</v>
      </c>
      <c r="CG356" s="323">
        <v>0</v>
      </c>
      <c r="CH356" s="323">
        <v>0</v>
      </c>
      <c r="CI356" s="323">
        <v>0</v>
      </c>
      <c r="CJ356" s="323">
        <v>0</v>
      </c>
      <c r="CK356" s="323">
        <v>0</v>
      </c>
      <c r="CL356" s="323">
        <v>0</v>
      </c>
      <c r="CM356" s="323">
        <v>0</v>
      </c>
      <c r="CN356" s="323">
        <v>0</v>
      </c>
      <c r="CO356" s="323">
        <v>0</v>
      </c>
      <c r="CP356" s="329" t="s">
        <v>934</v>
      </c>
      <c r="CQ356" s="330">
        <v>0</v>
      </c>
      <c r="CR356" s="330">
        <v>0</v>
      </c>
      <c r="CS356" s="330">
        <v>0</v>
      </c>
      <c r="CT356" s="330">
        <v>0</v>
      </c>
      <c r="CU356" s="330">
        <v>0</v>
      </c>
      <c r="CV356" s="330">
        <v>0</v>
      </c>
      <c r="CW356" s="330">
        <v>0</v>
      </c>
      <c r="CX356" s="330">
        <v>0</v>
      </c>
      <c r="CY356" s="328">
        <v>0</v>
      </c>
      <c r="CZ356" s="322" t="s">
        <v>934</v>
      </c>
      <c r="DA356" s="323">
        <v>107</v>
      </c>
      <c r="DB356" s="323">
        <v>103</v>
      </c>
      <c r="DC356" s="323">
        <v>70</v>
      </c>
      <c r="DD356" s="323">
        <v>21</v>
      </c>
      <c r="DE356" s="323">
        <v>14</v>
      </c>
      <c r="DF356" s="323">
        <v>2</v>
      </c>
      <c r="DG356" s="323">
        <v>4</v>
      </c>
      <c r="DH356" s="323">
        <v>0</v>
      </c>
      <c r="DI356" s="323">
        <v>321</v>
      </c>
      <c r="DJ356" s="337">
        <v>0</v>
      </c>
      <c r="DK356" s="644">
        <v>32324</v>
      </c>
      <c r="DL356" s="616">
        <v>7832</v>
      </c>
      <c r="DM356" s="616">
        <v>13858</v>
      </c>
      <c r="DN356" s="616">
        <v>10674</v>
      </c>
      <c r="DO356" s="616">
        <v>4968</v>
      </c>
      <c r="DP356" s="616">
        <v>3095</v>
      </c>
      <c r="DQ356" s="616">
        <v>1254</v>
      </c>
      <c r="DR356" s="616">
        <v>370</v>
      </c>
      <c r="DS356" s="617">
        <v>10</v>
      </c>
      <c r="DT356" s="607">
        <f t="shared" si="5"/>
        <v>42061</v>
      </c>
      <c r="DU356" s="342"/>
      <c r="EC356" s="646"/>
      <c r="EF356" s="125"/>
      <c r="EG356" s="124"/>
    </row>
    <row r="357" spans="1:137" ht="15">
      <c r="A357" s="22">
        <v>349</v>
      </c>
      <c r="B357" s="23" t="s">
        <v>841</v>
      </c>
      <c r="C357" s="24" t="s">
        <v>842</v>
      </c>
      <c r="D357" s="613"/>
      <c r="E357" s="626">
        <v>6612</v>
      </c>
      <c r="F357" s="626">
        <v>10197</v>
      </c>
      <c r="G357" s="626">
        <v>12596</v>
      </c>
      <c r="H357" s="626">
        <v>8823</v>
      </c>
      <c r="I357" s="626">
        <v>5287</v>
      </c>
      <c r="J357" s="626">
        <v>2244</v>
      </c>
      <c r="K357" s="626">
        <v>883</v>
      </c>
      <c r="L357" s="626">
        <v>26</v>
      </c>
      <c r="M357" s="627">
        <v>46668</v>
      </c>
      <c r="N357" s="322"/>
      <c r="O357" s="323">
        <v>438</v>
      </c>
      <c r="P357" s="323">
        <v>412</v>
      </c>
      <c r="Q357" s="323">
        <v>289</v>
      </c>
      <c r="R357" s="323">
        <v>183</v>
      </c>
      <c r="S357" s="323">
        <v>109</v>
      </c>
      <c r="T357" s="323">
        <v>34</v>
      </c>
      <c r="U357" s="323">
        <v>15</v>
      </c>
      <c r="V357" s="323">
        <v>0</v>
      </c>
      <c r="W357" s="323">
        <v>1480</v>
      </c>
      <c r="X357" s="329" t="s">
        <v>934</v>
      </c>
      <c r="Y357" s="330">
        <v>0</v>
      </c>
      <c r="Z357" s="330">
        <v>0</v>
      </c>
      <c r="AA357" s="330">
        <v>0</v>
      </c>
      <c r="AB357" s="330">
        <v>0</v>
      </c>
      <c r="AC357" s="330">
        <v>0</v>
      </c>
      <c r="AD357" s="330">
        <v>0</v>
      </c>
      <c r="AE357" s="330">
        <v>0</v>
      </c>
      <c r="AF357" s="330">
        <v>0</v>
      </c>
      <c r="AG357" s="328">
        <v>0</v>
      </c>
      <c r="AH357" s="329" t="s">
        <v>934</v>
      </c>
      <c r="AI357" s="184">
        <v>11</v>
      </c>
      <c r="AJ357" s="184">
        <v>32</v>
      </c>
      <c r="AK357" s="184">
        <v>48</v>
      </c>
      <c r="AL357" s="184">
        <v>54</v>
      </c>
      <c r="AM357" s="184">
        <v>40</v>
      </c>
      <c r="AN357" s="184">
        <v>28</v>
      </c>
      <c r="AO357" s="184">
        <v>38</v>
      </c>
      <c r="AP357" s="184">
        <v>18</v>
      </c>
      <c r="AQ357" s="336">
        <v>269</v>
      </c>
      <c r="AR357" s="323">
        <v>10</v>
      </c>
      <c r="AS357" s="323">
        <v>4190</v>
      </c>
      <c r="AT357" s="323">
        <v>4749</v>
      </c>
      <c r="AU357" s="323">
        <v>4125</v>
      </c>
      <c r="AV357" s="323">
        <v>2368</v>
      </c>
      <c r="AW357" s="323">
        <v>1120</v>
      </c>
      <c r="AX357" s="323">
        <v>328</v>
      </c>
      <c r="AY357" s="323">
        <v>107</v>
      </c>
      <c r="AZ357" s="323">
        <v>0</v>
      </c>
      <c r="BA357" s="323">
        <v>16997</v>
      </c>
      <c r="BB357" s="331">
        <v>0</v>
      </c>
      <c r="BC357" s="330">
        <v>36</v>
      </c>
      <c r="BD357" s="330">
        <v>72</v>
      </c>
      <c r="BE357" s="330">
        <v>116</v>
      </c>
      <c r="BF357" s="330">
        <v>70</v>
      </c>
      <c r="BG357" s="330">
        <v>34</v>
      </c>
      <c r="BH357" s="330">
        <v>23</v>
      </c>
      <c r="BI357" s="330">
        <v>6</v>
      </c>
      <c r="BJ357" s="330">
        <v>0</v>
      </c>
      <c r="BK357" s="328">
        <v>357</v>
      </c>
      <c r="BL357" s="323">
        <v>0</v>
      </c>
      <c r="BM357" s="323">
        <v>0</v>
      </c>
      <c r="BN357" s="323">
        <v>2</v>
      </c>
      <c r="BO357" s="323">
        <v>8</v>
      </c>
      <c r="BP357" s="323">
        <v>10</v>
      </c>
      <c r="BQ357" s="323">
        <v>16</v>
      </c>
      <c r="BR357" s="323">
        <v>41</v>
      </c>
      <c r="BS357" s="323">
        <v>27</v>
      </c>
      <c r="BT357" s="323">
        <v>1</v>
      </c>
      <c r="BU357" s="323">
        <v>105</v>
      </c>
      <c r="BV357" s="329" t="s">
        <v>934</v>
      </c>
      <c r="BW357" s="330">
        <v>91</v>
      </c>
      <c r="BX357" s="330">
        <v>141</v>
      </c>
      <c r="BY357" s="330">
        <v>136</v>
      </c>
      <c r="BZ357" s="330">
        <v>97</v>
      </c>
      <c r="CA357" s="330">
        <v>45</v>
      </c>
      <c r="CB357" s="330">
        <v>18</v>
      </c>
      <c r="CC357" s="330">
        <v>5</v>
      </c>
      <c r="CD357" s="330">
        <v>0</v>
      </c>
      <c r="CE357" s="328">
        <v>533</v>
      </c>
      <c r="CF357" s="322" t="s">
        <v>934</v>
      </c>
      <c r="CG357" s="323">
        <v>0</v>
      </c>
      <c r="CH357" s="323">
        <v>0</v>
      </c>
      <c r="CI357" s="323">
        <v>0</v>
      </c>
      <c r="CJ357" s="323">
        <v>0</v>
      </c>
      <c r="CK357" s="323">
        <v>0</v>
      </c>
      <c r="CL357" s="323">
        <v>0</v>
      </c>
      <c r="CM357" s="323">
        <v>0</v>
      </c>
      <c r="CN357" s="323">
        <v>0</v>
      </c>
      <c r="CO357" s="323">
        <v>0</v>
      </c>
      <c r="CP357" s="329" t="s">
        <v>934</v>
      </c>
      <c r="CQ357" s="330">
        <v>116</v>
      </c>
      <c r="CR357" s="330">
        <v>131</v>
      </c>
      <c r="CS357" s="330">
        <v>76</v>
      </c>
      <c r="CT357" s="330">
        <v>33</v>
      </c>
      <c r="CU357" s="330">
        <v>32</v>
      </c>
      <c r="CV357" s="330">
        <v>10</v>
      </c>
      <c r="CW357" s="330">
        <v>6</v>
      </c>
      <c r="CX357" s="330">
        <v>0</v>
      </c>
      <c r="CY357" s="328">
        <v>404</v>
      </c>
      <c r="CZ357" s="322" t="s">
        <v>934</v>
      </c>
      <c r="DA357" s="323">
        <v>0</v>
      </c>
      <c r="DB357" s="323">
        <v>0</v>
      </c>
      <c r="DC357" s="323">
        <v>0</v>
      </c>
      <c r="DD357" s="323">
        <v>0</v>
      </c>
      <c r="DE357" s="323">
        <v>0</v>
      </c>
      <c r="DF357" s="323">
        <v>0</v>
      </c>
      <c r="DG357" s="323">
        <v>0</v>
      </c>
      <c r="DH357" s="323">
        <v>0</v>
      </c>
      <c r="DI357" s="323">
        <v>0</v>
      </c>
      <c r="DJ357" s="337">
        <v>0</v>
      </c>
      <c r="DK357" s="644">
        <v>38247.4</v>
      </c>
      <c r="DL357" s="614">
        <v>6766</v>
      </c>
      <c r="DM357" s="614">
        <v>10268</v>
      </c>
      <c r="DN357" s="614">
        <v>12644</v>
      </c>
      <c r="DO357" s="614">
        <v>8890</v>
      </c>
      <c r="DP357" s="614">
        <v>5251</v>
      </c>
      <c r="DQ357" s="614">
        <v>2236</v>
      </c>
      <c r="DR357" s="614">
        <v>883</v>
      </c>
      <c r="DS357" s="615">
        <v>28</v>
      </c>
      <c r="DT357" s="607">
        <f t="shared" si="5"/>
        <v>46966</v>
      </c>
      <c r="DU357" s="342"/>
      <c r="EC357" s="646"/>
      <c r="EF357" s="126"/>
      <c r="EG357" s="124"/>
    </row>
    <row r="358" spans="1:137" ht="15">
      <c r="A358" s="22">
        <v>350</v>
      </c>
      <c r="B358" s="23" t="s">
        <v>843</v>
      </c>
      <c r="C358" s="24" t="s">
        <v>844</v>
      </c>
      <c r="D358" s="613"/>
      <c r="E358" s="636">
        <v>5728</v>
      </c>
      <c r="F358" s="636">
        <v>10378</v>
      </c>
      <c r="G358" s="636">
        <v>11205</v>
      </c>
      <c r="H358" s="636">
        <v>7602</v>
      </c>
      <c r="I358" s="636">
        <v>6537</v>
      </c>
      <c r="J358" s="636">
        <v>5245</v>
      </c>
      <c r="K358" s="636">
        <v>3653</v>
      </c>
      <c r="L358" s="636">
        <v>206</v>
      </c>
      <c r="M358" s="627">
        <v>50554</v>
      </c>
      <c r="N358" s="322"/>
      <c r="O358" s="323">
        <v>434</v>
      </c>
      <c r="P358" s="323">
        <v>252</v>
      </c>
      <c r="Q358" s="323">
        <v>211</v>
      </c>
      <c r="R358" s="323">
        <v>156</v>
      </c>
      <c r="S358" s="323">
        <v>96</v>
      </c>
      <c r="T358" s="323">
        <v>73</v>
      </c>
      <c r="U358" s="323">
        <v>48</v>
      </c>
      <c r="V358" s="323">
        <v>2</v>
      </c>
      <c r="W358" s="323">
        <v>1272</v>
      </c>
      <c r="X358" s="329" t="s">
        <v>934</v>
      </c>
      <c r="Y358" s="330">
        <v>2</v>
      </c>
      <c r="Z358" s="330">
        <v>0</v>
      </c>
      <c r="AA358" s="330">
        <v>0</v>
      </c>
      <c r="AB358" s="330">
        <v>1</v>
      </c>
      <c r="AC358" s="330">
        <v>6</v>
      </c>
      <c r="AD358" s="330">
        <v>2</v>
      </c>
      <c r="AE358" s="330">
        <v>0</v>
      </c>
      <c r="AF358" s="330">
        <v>0</v>
      </c>
      <c r="AG358" s="328">
        <v>11</v>
      </c>
      <c r="AH358" s="329" t="s">
        <v>934</v>
      </c>
      <c r="AI358" s="184">
        <v>28</v>
      </c>
      <c r="AJ358" s="184">
        <v>59</v>
      </c>
      <c r="AK358" s="184">
        <v>73</v>
      </c>
      <c r="AL358" s="184">
        <v>59</v>
      </c>
      <c r="AM358" s="184">
        <v>53</v>
      </c>
      <c r="AN358" s="184">
        <v>36</v>
      </c>
      <c r="AO358" s="184">
        <v>42</v>
      </c>
      <c r="AP358" s="184">
        <v>13</v>
      </c>
      <c r="AQ358" s="336">
        <v>363</v>
      </c>
      <c r="AR358" s="323">
        <v>15</v>
      </c>
      <c r="AS358" s="323">
        <v>3002</v>
      </c>
      <c r="AT358" s="323">
        <v>3934</v>
      </c>
      <c r="AU358" s="323">
        <v>3407</v>
      </c>
      <c r="AV358" s="323">
        <v>1902</v>
      </c>
      <c r="AW358" s="323">
        <v>1163</v>
      </c>
      <c r="AX358" s="323">
        <v>735</v>
      </c>
      <c r="AY358" s="323">
        <v>423</v>
      </c>
      <c r="AZ358" s="323">
        <v>18</v>
      </c>
      <c r="BA358" s="323">
        <v>14599</v>
      </c>
      <c r="BB358" s="331">
        <v>0</v>
      </c>
      <c r="BC358" s="330">
        <v>26</v>
      </c>
      <c r="BD358" s="330">
        <v>92</v>
      </c>
      <c r="BE358" s="330">
        <v>82</v>
      </c>
      <c r="BF358" s="330">
        <v>43</v>
      </c>
      <c r="BG358" s="330">
        <v>56</v>
      </c>
      <c r="BH358" s="330">
        <v>36</v>
      </c>
      <c r="BI358" s="330">
        <v>19</v>
      </c>
      <c r="BJ358" s="330">
        <v>2</v>
      </c>
      <c r="BK358" s="328">
        <v>356</v>
      </c>
      <c r="BL358" s="323">
        <v>0</v>
      </c>
      <c r="BM358" s="323">
        <v>0</v>
      </c>
      <c r="BN358" s="323">
        <v>3</v>
      </c>
      <c r="BO358" s="323">
        <v>2</v>
      </c>
      <c r="BP358" s="323">
        <v>3</v>
      </c>
      <c r="BQ358" s="323">
        <v>6</v>
      </c>
      <c r="BR358" s="323">
        <v>4</v>
      </c>
      <c r="BS358" s="323">
        <v>15</v>
      </c>
      <c r="BT358" s="323">
        <v>6</v>
      </c>
      <c r="BU358" s="323">
        <v>39</v>
      </c>
      <c r="BV358" s="329" t="s">
        <v>934</v>
      </c>
      <c r="BW358" s="330">
        <v>80</v>
      </c>
      <c r="BX358" s="330">
        <v>49</v>
      </c>
      <c r="BY358" s="330">
        <v>53</v>
      </c>
      <c r="BZ358" s="330">
        <v>53</v>
      </c>
      <c r="CA358" s="330">
        <v>49</v>
      </c>
      <c r="CB358" s="330">
        <v>29</v>
      </c>
      <c r="CC358" s="330">
        <v>33</v>
      </c>
      <c r="CD358" s="330">
        <v>12</v>
      </c>
      <c r="CE358" s="328">
        <v>358</v>
      </c>
      <c r="CF358" s="322" t="s">
        <v>934</v>
      </c>
      <c r="CG358" s="323">
        <v>0</v>
      </c>
      <c r="CH358" s="323">
        <v>0</v>
      </c>
      <c r="CI358" s="323">
        <v>0</v>
      </c>
      <c r="CJ358" s="323">
        <v>0</v>
      </c>
      <c r="CK358" s="323">
        <v>0</v>
      </c>
      <c r="CL358" s="323">
        <v>0</v>
      </c>
      <c r="CM358" s="323">
        <v>0</v>
      </c>
      <c r="CN358" s="323">
        <v>0</v>
      </c>
      <c r="CO358" s="323">
        <v>0</v>
      </c>
      <c r="CP358" s="329" t="s">
        <v>934</v>
      </c>
      <c r="CQ358" s="330">
        <v>89</v>
      </c>
      <c r="CR358" s="330">
        <v>78</v>
      </c>
      <c r="CS358" s="330">
        <v>81</v>
      </c>
      <c r="CT358" s="330">
        <v>69</v>
      </c>
      <c r="CU358" s="330">
        <v>52</v>
      </c>
      <c r="CV358" s="330">
        <v>31</v>
      </c>
      <c r="CW358" s="330">
        <v>32</v>
      </c>
      <c r="CX358" s="330">
        <v>0</v>
      </c>
      <c r="CY358" s="328">
        <v>432</v>
      </c>
      <c r="CZ358" s="322" t="s">
        <v>934</v>
      </c>
      <c r="DA358" s="323">
        <v>0</v>
      </c>
      <c r="DB358" s="323">
        <v>0</v>
      </c>
      <c r="DC358" s="323">
        <v>0</v>
      </c>
      <c r="DD358" s="323">
        <v>0</v>
      </c>
      <c r="DE358" s="323">
        <v>0</v>
      </c>
      <c r="DF358" s="323">
        <v>0</v>
      </c>
      <c r="DG358" s="323">
        <v>0</v>
      </c>
      <c r="DH358" s="323">
        <v>0</v>
      </c>
      <c r="DI358" s="323">
        <v>0</v>
      </c>
      <c r="DJ358" s="337">
        <v>0</v>
      </c>
      <c r="DK358" s="644">
        <v>46702.5</v>
      </c>
      <c r="DL358" s="616">
        <v>5805</v>
      </c>
      <c r="DM358" s="616">
        <v>10404</v>
      </c>
      <c r="DN358" s="616">
        <v>11245</v>
      </c>
      <c r="DO358" s="616">
        <v>7598</v>
      </c>
      <c r="DP358" s="616">
        <v>6561</v>
      </c>
      <c r="DQ358" s="616">
        <v>5297</v>
      </c>
      <c r="DR358" s="616">
        <v>3683</v>
      </c>
      <c r="DS358" s="617">
        <v>210</v>
      </c>
      <c r="DT358" s="607">
        <f t="shared" si="5"/>
        <v>50803</v>
      </c>
      <c r="DU358" s="342"/>
      <c r="EC358" s="646"/>
      <c r="EF358" s="125"/>
      <c r="EG358" s="124"/>
    </row>
    <row r="359" spans="1:137" ht="15">
      <c r="A359" s="22">
        <v>351</v>
      </c>
      <c r="B359" s="23" t="s">
        <v>845</v>
      </c>
      <c r="C359" s="24" t="s">
        <v>846</v>
      </c>
      <c r="D359" s="613"/>
      <c r="E359" s="628">
        <v>1113</v>
      </c>
      <c r="F359" s="628">
        <v>6842</v>
      </c>
      <c r="G359" s="628">
        <v>15790</v>
      </c>
      <c r="H359" s="628">
        <v>16149</v>
      </c>
      <c r="I359" s="628">
        <v>10638</v>
      </c>
      <c r="J359" s="628">
        <v>8563</v>
      </c>
      <c r="K359" s="628">
        <v>6689</v>
      </c>
      <c r="L359" s="628">
        <v>935</v>
      </c>
      <c r="M359" s="627">
        <v>66719</v>
      </c>
      <c r="N359" s="322"/>
      <c r="O359" s="323">
        <v>100</v>
      </c>
      <c r="P359" s="323">
        <v>310</v>
      </c>
      <c r="Q359" s="323">
        <v>611</v>
      </c>
      <c r="R359" s="323">
        <v>552</v>
      </c>
      <c r="S359" s="323">
        <v>260</v>
      </c>
      <c r="T359" s="323">
        <v>233</v>
      </c>
      <c r="U359" s="323">
        <v>268</v>
      </c>
      <c r="V359" s="323">
        <v>33</v>
      </c>
      <c r="W359" s="323">
        <v>2367</v>
      </c>
      <c r="X359" s="329" t="s">
        <v>934</v>
      </c>
      <c r="Y359" s="330">
        <v>0</v>
      </c>
      <c r="Z359" s="330">
        <v>0</v>
      </c>
      <c r="AA359" s="330">
        <v>0</v>
      </c>
      <c r="AB359" s="330">
        <v>0</v>
      </c>
      <c r="AC359" s="330">
        <v>0</v>
      </c>
      <c r="AD359" s="330">
        <v>0</v>
      </c>
      <c r="AE359" s="330">
        <v>0</v>
      </c>
      <c r="AF359" s="330">
        <v>0</v>
      </c>
      <c r="AG359" s="328">
        <v>0</v>
      </c>
      <c r="AH359" s="329" t="s">
        <v>934</v>
      </c>
      <c r="AI359" s="184">
        <v>2</v>
      </c>
      <c r="AJ359" s="184">
        <v>22</v>
      </c>
      <c r="AK359" s="184">
        <v>75</v>
      </c>
      <c r="AL359" s="184">
        <v>112</v>
      </c>
      <c r="AM359" s="184">
        <v>94</v>
      </c>
      <c r="AN359" s="184">
        <v>69</v>
      </c>
      <c r="AO359" s="184">
        <v>52</v>
      </c>
      <c r="AP359" s="184">
        <v>13</v>
      </c>
      <c r="AQ359" s="336">
        <v>439</v>
      </c>
      <c r="AR359" s="323">
        <v>1</v>
      </c>
      <c r="AS359" s="323">
        <v>547</v>
      </c>
      <c r="AT359" s="323">
        <v>3768</v>
      </c>
      <c r="AU359" s="323">
        <v>5325</v>
      </c>
      <c r="AV359" s="323">
        <v>4370</v>
      </c>
      <c r="AW359" s="323">
        <v>2404</v>
      </c>
      <c r="AX359" s="323">
        <v>1381</v>
      </c>
      <c r="AY359" s="323">
        <v>829</v>
      </c>
      <c r="AZ359" s="323">
        <v>68</v>
      </c>
      <c r="BA359" s="323">
        <v>18693</v>
      </c>
      <c r="BB359" s="331">
        <v>0</v>
      </c>
      <c r="BC359" s="330">
        <v>1</v>
      </c>
      <c r="BD359" s="330">
        <v>43</v>
      </c>
      <c r="BE359" s="330">
        <v>109</v>
      </c>
      <c r="BF359" s="330">
        <v>99</v>
      </c>
      <c r="BG359" s="330">
        <v>61</v>
      </c>
      <c r="BH359" s="330">
        <v>50</v>
      </c>
      <c r="BI359" s="330">
        <v>28</v>
      </c>
      <c r="BJ359" s="330">
        <v>1</v>
      </c>
      <c r="BK359" s="328">
        <v>392</v>
      </c>
      <c r="BL359" s="323">
        <v>0</v>
      </c>
      <c r="BM359" s="323">
        <v>1</v>
      </c>
      <c r="BN359" s="323">
        <v>1</v>
      </c>
      <c r="BO359" s="323">
        <v>6</v>
      </c>
      <c r="BP359" s="323">
        <v>6</v>
      </c>
      <c r="BQ359" s="323">
        <v>3</v>
      </c>
      <c r="BR359" s="323">
        <v>8</v>
      </c>
      <c r="BS359" s="323">
        <v>11</v>
      </c>
      <c r="BT359" s="323">
        <v>8</v>
      </c>
      <c r="BU359" s="323">
        <v>44</v>
      </c>
      <c r="BV359" s="329" t="s">
        <v>934</v>
      </c>
      <c r="BW359" s="330">
        <v>17</v>
      </c>
      <c r="BX359" s="330">
        <v>27</v>
      </c>
      <c r="BY359" s="330">
        <v>41</v>
      </c>
      <c r="BZ359" s="330">
        <v>32</v>
      </c>
      <c r="CA359" s="330">
        <v>39</v>
      </c>
      <c r="CB359" s="330">
        <v>73</v>
      </c>
      <c r="CC359" s="330">
        <v>50</v>
      </c>
      <c r="CD359" s="330">
        <v>30</v>
      </c>
      <c r="CE359" s="328">
        <v>309</v>
      </c>
      <c r="CF359" s="322" t="s">
        <v>934</v>
      </c>
      <c r="CG359" s="323">
        <v>0</v>
      </c>
      <c r="CH359" s="323">
        <v>0</v>
      </c>
      <c r="CI359" s="323">
        <v>0</v>
      </c>
      <c r="CJ359" s="323">
        <v>0</v>
      </c>
      <c r="CK359" s="323">
        <v>0</v>
      </c>
      <c r="CL359" s="323">
        <v>0</v>
      </c>
      <c r="CM359" s="323">
        <v>0</v>
      </c>
      <c r="CN359" s="323">
        <v>0</v>
      </c>
      <c r="CO359" s="323">
        <v>0</v>
      </c>
      <c r="CP359" s="329" t="s">
        <v>934</v>
      </c>
      <c r="CQ359" s="330">
        <v>39</v>
      </c>
      <c r="CR359" s="330">
        <v>92</v>
      </c>
      <c r="CS359" s="330">
        <v>103</v>
      </c>
      <c r="CT359" s="330">
        <v>84</v>
      </c>
      <c r="CU359" s="330">
        <v>57</v>
      </c>
      <c r="CV359" s="330">
        <v>35</v>
      </c>
      <c r="CW359" s="330">
        <v>35</v>
      </c>
      <c r="CX359" s="330">
        <v>12</v>
      </c>
      <c r="CY359" s="328">
        <v>457</v>
      </c>
      <c r="CZ359" s="322" t="s">
        <v>934</v>
      </c>
      <c r="DA359" s="323">
        <v>0</v>
      </c>
      <c r="DB359" s="323">
        <v>0</v>
      </c>
      <c r="DC359" s="323">
        <v>0</v>
      </c>
      <c r="DD359" s="323">
        <v>0</v>
      </c>
      <c r="DE359" s="323">
        <v>0</v>
      </c>
      <c r="DF359" s="323">
        <v>0</v>
      </c>
      <c r="DG359" s="323">
        <v>0</v>
      </c>
      <c r="DH359" s="323">
        <v>0</v>
      </c>
      <c r="DI359" s="323">
        <v>0</v>
      </c>
      <c r="DJ359" s="337">
        <v>773.3</v>
      </c>
      <c r="DK359" s="644">
        <v>67703.7</v>
      </c>
      <c r="DL359" s="614">
        <v>1130</v>
      </c>
      <c r="DM359" s="614">
        <v>6926</v>
      </c>
      <c r="DN359" s="614">
        <v>16178</v>
      </c>
      <c r="DO359" s="614">
        <v>16178</v>
      </c>
      <c r="DP359" s="614">
        <v>10675</v>
      </c>
      <c r="DQ359" s="614">
        <v>8570</v>
      </c>
      <c r="DR359" s="614">
        <v>6701</v>
      </c>
      <c r="DS359" s="615">
        <v>945</v>
      </c>
      <c r="DT359" s="607">
        <f t="shared" si="5"/>
        <v>67303</v>
      </c>
      <c r="DU359" s="342"/>
      <c r="EC359" s="646"/>
      <c r="EF359" s="126"/>
      <c r="EG359" s="124"/>
    </row>
    <row r="360" spans="1:137" ht="15">
      <c r="A360" s="22">
        <v>352</v>
      </c>
      <c r="B360" s="23" t="s">
        <v>847</v>
      </c>
      <c r="C360" s="24" t="s">
        <v>848</v>
      </c>
      <c r="D360" s="613"/>
      <c r="E360" s="628">
        <v>10671</v>
      </c>
      <c r="F360" s="628">
        <v>11372</v>
      </c>
      <c r="G360" s="628">
        <v>11731</v>
      </c>
      <c r="H360" s="628">
        <v>7095</v>
      </c>
      <c r="I360" s="628">
        <v>4584</v>
      </c>
      <c r="J360" s="628">
        <v>2168</v>
      </c>
      <c r="K360" s="628">
        <v>944</v>
      </c>
      <c r="L360" s="628">
        <v>70</v>
      </c>
      <c r="M360" s="627">
        <v>48635</v>
      </c>
      <c r="N360" s="322"/>
      <c r="O360" s="323">
        <v>395</v>
      </c>
      <c r="P360" s="323">
        <v>247</v>
      </c>
      <c r="Q360" s="323">
        <v>228</v>
      </c>
      <c r="R360" s="323">
        <v>132</v>
      </c>
      <c r="S360" s="323">
        <v>76</v>
      </c>
      <c r="T360" s="323">
        <v>29</v>
      </c>
      <c r="U360" s="323">
        <v>14</v>
      </c>
      <c r="V360" s="323">
        <v>4</v>
      </c>
      <c r="W360" s="323">
        <v>1125</v>
      </c>
      <c r="X360" s="329" t="s">
        <v>934</v>
      </c>
      <c r="Y360" s="330">
        <v>0</v>
      </c>
      <c r="Z360" s="330">
        <v>0</v>
      </c>
      <c r="AA360" s="330">
        <v>0</v>
      </c>
      <c r="AB360" s="330">
        <v>0</v>
      </c>
      <c r="AC360" s="330">
        <v>0</v>
      </c>
      <c r="AD360" s="330">
        <v>0</v>
      </c>
      <c r="AE360" s="330">
        <v>0</v>
      </c>
      <c r="AF360" s="330">
        <v>0</v>
      </c>
      <c r="AG360" s="328">
        <v>0</v>
      </c>
      <c r="AH360" s="329" t="s">
        <v>934</v>
      </c>
      <c r="AI360" s="184">
        <v>27</v>
      </c>
      <c r="AJ360" s="184">
        <v>77</v>
      </c>
      <c r="AK360" s="184">
        <v>93</v>
      </c>
      <c r="AL360" s="184">
        <v>80</v>
      </c>
      <c r="AM360" s="184">
        <v>64</v>
      </c>
      <c r="AN360" s="184">
        <v>31</v>
      </c>
      <c r="AO360" s="184">
        <v>27</v>
      </c>
      <c r="AP360" s="184">
        <v>15</v>
      </c>
      <c r="AQ360" s="336">
        <v>414</v>
      </c>
      <c r="AR360" s="323">
        <v>8</v>
      </c>
      <c r="AS360" s="323">
        <v>5229</v>
      </c>
      <c r="AT360" s="323">
        <v>4272</v>
      </c>
      <c r="AU360" s="323">
        <v>3676</v>
      </c>
      <c r="AV360" s="323">
        <v>1682</v>
      </c>
      <c r="AW360" s="323">
        <v>807</v>
      </c>
      <c r="AX360" s="323">
        <v>289</v>
      </c>
      <c r="AY360" s="323">
        <v>113</v>
      </c>
      <c r="AZ360" s="323">
        <v>8</v>
      </c>
      <c r="BA360" s="323">
        <v>16084</v>
      </c>
      <c r="BB360" s="331">
        <v>0</v>
      </c>
      <c r="BC360" s="330">
        <v>49</v>
      </c>
      <c r="BD360" s="330">
        <v>83</v>
      </c>
      <c r="BE360" s="330">
        <v>95</v>
      </c>
      <c r="BF360" s="330">
        <v>49</v>
      </c>
      <c r="BG360" s="330">
        <v>31</v>
      </c>
      <c r="BH360" s="330">
        <v>14</v>
      </c>
      <c r="BI360" s="330">
        <v>8</v>
      </c>
      <c r="BJ360" s="330">
        <v>0</v>
      </c>
      <c r="BK360" s="328">
        <v>329</v>
      </c>
      <c r="BL360" s="323">
        <v>0</v>
      </c>
      <c r="BM360" s="323">
        <v>2</v>
      </c>
      <c r="BN360" s="323">
        <v>6</v>
      </c>
      <c r="BO360" s="323">
        <v>5</v>
      </c>
      <c r="BP360" s="323">
        <v>9</v>
      </c>
      <c r="BQ360" s="323">
        <v>2</v>
      </c>
      <c r="BR360" s="323">
        <v>16</v>
      </c>
      <c r="BS360" s="323">
        <v>13</v>
      </c>
      <c r="BT360" s="323">
        <v>2</v>
      </c>
      <c r="BU360" s="323">
        <v>55</v>
      </c>
      <c r="BV360" s="329" t="s">
        <v>934</v>
      </c>
      <c r="BW360" s="330">
        <v>107</v>
      </c>
      <c r="BX360" s="330">
        <v>90</v>
      </c>
      <c r="BY360" s="330">
        <v>110</v>
      </c>
      <c r="BZ360" s="330">
        <v>57</v>
      </c>
      <c r="CA360" s="330">
        <v>29</v>
      </c>
      <c r="CB360" s="330">
        <v>16</v>
      </c>
      <c r="CC360" s="330">
        <v>6</v>
      </c>
      <c r="CD360" s="330">
        <v>0</v>
      </c>
      <c r="CE360" s="328">
        <v>415</v>
      </c>
      <c r="CF360" s="322" t="s">
        <v>934</v>
      </c>
      <c r="CG360" s="323">
        <v>194</v>
      </c>
      <c r="CH360" s="323">
        <v>149</v>
      </c>
      <c r="CI360" s="323">
        <v>143</v>
      </c>
      <c r="CJ360" s="323">
        <v>74</v>
      </c>
      <c r="CK360" s="323">
        <v>48</v>
      </c>
      <c r="CL360" s="323">
        <v>15</v>
      </c>
      <c r="CM360" s="323">
        <v>10</v>
      </c>
      <c r="CN360" s="323">
        <v>1</v>
      </c>
      <c r="CO360" s="323">
        <v>634</v>
      </c>
      <c r="CP360" s="329" t="s">
        <v>934</v>
      </c>
      <c r="CQ360" s="330">
        <v>0</v>
      </c>
      <c r="CR360" s="330">
        <v>0</v>
      </c>
      <c r="CS360" s="330">
        <v>0</v>
      </c>
      <c r="CT360" s="330">
        <v>0</v>
      </c>
      <c r="CU360" s="330">
        <v>0</v>
      </c>
      <c r="CV360" s="330">
        <v>0</v>
      </c>
      <c r="CW360" s="330">
        <v>0</v>
      </c>
      <c r="CX360" s="330">
        <v>0</v>
      </c>
      <c r="CY360" s="328">
        <v>0</v>
      </c>
      <c r="CZ360" s="322" t="s">
        <v>934</v>
      </c>
      <c r="DA360" s="323">
        <v>0</v>
      </c>
      <c r="DB360" s="323">
        <v>0</v>
      </c>
      <c r="DC360" s="323">
        <v>0</v>
      </c>
      <c r="DD360" s="323">
        <v>0</v>
      </c>
      <c r="DE360" s="323">
        <v>0</v>
      </c>
      <c r="DF360" s="323">
        <v>0</v>
      </c>
      <c r="DG360" s="323">
        <v>0</v>
      </c>
      <c r="DH360" s="323">
        <v>0</v>
      </c>
      <c r="DI360" s="323">
        <v>0</v>
      </c>
      <c r="DJ360" s="337">
        <v>0</v>
      </c>
      <c r="DK360" s="644">
        <v>39001.3</v>
      </c>
      <c r="DL360" s="614">
        <v>10701</v>
      </c>
      <c r="DM360" s="614">
        <v>11455</v>
      </c>
      <c r="DN360" s="614">
        <v>11832</v>
      </c>
      <c r="DO360" s="614">
        <v>7142</v>
      </c>
      <c r="DP360" s="614">
        <v>4602</v>
      </c>
      <c r="DQ360" s="614">
        <v>2210</v>
      </c>
      <c r="DR360" s="614">
        <v>962</v>
      </c>
      <c r="DS360" s="615">
        <v>69</v>
      </c>
      <c r="DT360" s="607">
        <f t="shared" si="5"/>
        <v>48973</v>
      </c>
      <c r="DU360" s="342"/>
      <c r="EC360" s="646"/>
      <c r="EF360" s="126"/>
      <c r="EG360" s="124"/>
    </row>
    <row r="361" spans="1:137" ht="15">
      <c r="A361" s="22">
        <v>353</v>
      </c>
      <c r="B361" s="23" t="s">
        <v>849</v>
      </c>
      <c r="C361" s="24" t="s">
        <v>850</v>
      </c>
      <c r="D361" s="613"/>
      <c r="E361" s="636">
        <v>10472</v>
      </c>
      <c r="F361" s="636">
        <v>10708</v>
      </c>
      <c r="G361" s="636">
        <v>10716</v>
      </c>
      <c r="H361" s="636">
        <v>5916</v>
      </c>
      <c r="I361" s="636">
        <v>3143</v>
      </c>
      <c r="J361" s="636">
        <v>1639</v>
      </c>
      <c r="K361" s="636">
        <v>1122</v>
      </c>
      <c r="L361" s="636">
        <v>132</v>
      </c>
      <c r="M361" s="627">
        <v>43848</v>
      </c>
      <c r="N361" s="322"/>
      <c r="O361" s="323">
        <v>670</v>
      </c>
      <c r="P361" s="323">
        <v>245</v>
      </c>
      <c r="Q361" s="323">
        <v>157</v>
      </c>
      <c r="R361" s="323">
        <v>95</v>
      </c>
      <c r="S361" s="323">
        <v>50</v>
      </c>
      <c r="T361" s="323">
        <v>32</v>
      </c>
      <c r="U361" s="323">
        <v>12</v>
      </c>
      <c r="V361" s="323">
        <v>4</v>
      </c>
      <c r="W361" s="323">
        <v>1265</v>
      </c>
      <c r="X361" s="329" t="s">
        <v>934</v>
      </c>
      <c r="Y361" s="330">
        <v>0</v>
      </c>
      <c r="Z361" s="330">
        <v>0</v>
      </c>
      <c r="AA361" s="330">
        <v>0</v>
      </c>
      <c r="AB361" s="330">
        <v>0</v>
      </c>
      <c r="AC361" s="330">
        <v>0</v>
      </c>
      <c r="AD361" s="330">
        <v>0</v>
      </c>
      <c r="AE361" s="330">
        <v>0</v>
      </c>
      <c r="AF361" s="330">
        <v>0</v>
      </c>
      <c r="AG361" s="328">
        <v>0</v>
      </c>
      <c r="AH361" s="329" t="s">
        <v>934</v>
      </c>
      <c r="AI361" s="184">
        <v>16</v>
      </c>
      <c r="AJ361" s="184">
        <v>56</v>
      </c>
      <c r="AK361" s="184">
        <v>83</v>
      </c>
      <c r="AL361" s="184">
        <v>46</v>
      </c>
      <c r="AM361" s="184">
        <v>33</v>
      </c>
      <c r="AN361" s="184">
        <v>21</v>
      </c>
      <c r="AO361" s="184">
        <v>18</v>
      </c>
      <c r="AP361" s="184">
        <v>14</v>
      </c>
      <c r="AQ361" s="336">
        <v>287</v>
      </c>
      <c r="AR361" s="323">
        <v>9</v>
      </c>
      <c r="AS361" s="323">
        <v>5113</v>
      </c>
      <c r="AT361" s="323">
        <v>3722</v>
      </c>
      <c r="AU361" s="323">
        <v>2853</v>
      </c>
      <c r="AV361" s="323">
        <v>1340</v>
      </c>
      <c r="AW361" s="323">
        <v>525</v>
      </c>
      <c r="AX361" s="323">
        <v>219</v>
      </c>
      <c r="AY361" s="323">
        <v>128</v>
      </c>
      <c r="AZ361" s="323">
        <v>12</v>
      </c>
      <c r="BA361" s="323">
        <v>13921</v>
      </c>
      <c r="BB361" s="331">
        <v>0</v>
      </c>
      <c r="BC361" s="330">
        <v>80</v>
      </c>
      <c r="BD361" s="330">
        <v>94</v>
      </c>
      <c r="BE361" s="330">
        <v>80</v>
      </c>
      <c r="BF361" s="330">
        <v>52</v>
      </c>
      <c r="BG361" s="330">
        <v>16</v>
      </c>
      <c r="BH361" s="330">
        <v>17</v>
      </c>
      <c r="BI361" s="330">
        <v>9</v>
      </c>
      <c r="BJ361" s="330">
        <v>0</v>
      </c>
      <c r="BK361" s="328">
        <v>348</v>
      </c>
      <c r="BL361" s="323">
        <v>0</v>
      </c>
      <c r="BM361" s="323">
        <v>9</v>
      </c>
      <c r="BN361" s="323">
        <v>5</v>
      </c>
      <c r="BO361" s="323">
        <v>10</v>
      </c>
      <c r="BP361" s="323">
        <v>14</v>
      </c>
      <c r="BQ361" s="323">
        <v>11</v>
      </c>
      <c r="BR361" s="323">
        <v>21</v>
      </c>
      <c r="BS361" s="323">
        <v>17</v>
      </c>
      <c r="BT361" s="323">
        <v>2</v>
      </c>
      <c r="BU361" s="323">
        <v>89</v>
      </c>
      <c r="BV361" s="329" t="s">
        <v>934</v>
      </c>
      <c r="BW361" s="330">
        <v>155</v>
      </c>
      <c r="BX361" s="330">
        <v>25</v>
      </c>
      <c r="BY361" s="330">
        <v>29</v>
      </c>
      <c r="BZ361" s="330">
        <v>24</v>
      </c>
      <c r="CA361" s="330">
        <v>18</v>
      </c>
      <c r="CB361" s="330">
        <v>9</v>
      </c>
      <c r="CC361" s="330">
        <v>7</v>
      </c>
      <c r="CD361" s="330">
        <v>0</v>
      </c>
      <c r="CE361" s="328">
        <v>267</v>
      </c>
      <c r="CF361" s="322" t="s">
        <v>934</v>
      </c>
      <c r="CG361" s="323">
        <v>0</v>
      </c>
      <c r="CH361" s="323">
        <v>0</v>
      </c>
      <c r="CI361" s="323">
        <v>0</v>
      </c>
      <c r="CJ361" s="323">
        <v>0</v>
      </c>
      <c r="CK361" s="323">
        <v>0</v>
      </c>
      <c r="CL361" s="323">
        <v>0</v>
      </c>
      <c r="CM361" s="323">
        <v>0</v>
      </c>
      <c r="CN361" s="323">
        <v>0</v>
      </c>
      <c r="CO361" s="323">
        <v>0</v>
      </c>
      <c r="CP361" s="329" t="s">
        <v>934</v>
      </c>
      <c r="CQ361" s="330">
        <v>0</v>
      </c>
      <c r="CR361" s="330">
        <v>0</v>
      </c>
      <c r="CS361" s="330">
        <v>0</v>
      </c>
      <c r="CT361" s="330">
        <v>0</v>
      </c>
      <c r="CU361" s="330">
        <v>0</v>
      </c>
      <c r="CV361" s="330">
        <v>0</v>
      </c>
      <c r="CW361" s="330">
        <v>0</v>
      </c>
      <c r="CX361" s="330">
        <v>0</v>
      </c>
      <c r="CY361" s="328">
        <v>0</v>
      </c>
      <c r="CZ361" s="322" t="s">
        <v>934</v>
      </c>
      <c r="DA361" s="323">
        <v>202</v>
      </c>
      <c r="DB361" s="323">
        <v>132</v>
      </c>
      <c r="DC361" s="323">
        <v>104</v>
      </c>
      <c r="DD361" s="323">
        <v>78</v>
      </c>
      <c r="DE361" s="323">
        <v>41</v>
      </c>
      <c r="DF361" s="323">
        <v>18</v>
      </c>
      <c r="DG361" s="323">
        <v>16</v>
      </c>
      <c r="DH361" s="323">
        <v>8</v>
      </c>
      <c r="DI361" s="323">
        <v>599</v>
      </c>
      <c r="DJ361" s="337">
        <v>0</v>
      </c>
      <c r="DK361" s="644">
        <v>34826.1</v>
      </c>
      <c r="DL361" s="616">
        <v>10619</v>
      </c>
      <c r="DM361" s="616">
        <v>10792</v>
      </c>
      <c r="DN361" s="616">
        <v>10765</v>
      </c>
      <c r="DO361" s="616">
        <v>5929</v>
      </c>
      <c r="DP361" s="616">
        <v>3170</v>
      </c>
      <c r="DQ361" s="616">
        <v>1641</v>
      </c>
      <c r="DR361" s="616">
        <v>1128</v>
      </c>
      <c r="DS361" s="617">
        <v>132</v>
      </c>
      <c r="DT361" s="607">
        <f t="shared" si="5"/>
        <v>44176</v>
      </c>
      <c r="DU361" s="342"/>
      <c r="EC361" s="646"/>
      <c r="EF361" s="125"/>
      <c r="EG361" s="124"/>
    </row>
    <row r="362" spans="1:137" ht="15">
      <c r="A362" s="22">
        <v>354</v>
      </c>
      <c r="B362" s="23" t="s">
        <v>851</v>
      </c>
      <c r="C362" s="24" t="s">
        <v>852</v>
      </c>
      <c r="D362" s="613"/>
      <c r="E362" s="626">
        <v>10588</v>
      </c>
      <c r="F362" s="626">
        <v>24001</v>
      </c>
      <c r="G362" s="626">
        <v>25011</v>
      </c>
      <c r="H362" s="626">
        <v>12123</v>
      </c>
      <c r="I362" s="626">
        <v>6917</v>
      </c>
      <c r="J362" s="626">
        <v>3051</v>
      </c>
      <c r="K362" s="626">
        <v>1449</v>
      </c>
      <c r="L362" s="626">
        <v>93</v>
      </c>
      <c r="M362" s="627">
        <v>83233</v>
      </c>
      <c r="N362" s="322"/>
      <c r="O362" s="323">
        <v>609</v>
      </c>
      <c r="P362" s="323">
        <v>1346</v>
      </c>
      <c r="Q362" s="323">
        <v>1176</v>
      </c>
      <c r="R362" s="323">
        <v>388</v>
      </c>
      <c r="S362" s="323">
        <v>248</v>
      </c>
      <c r="T362" s="323">
        <v>69</v>
      </c>
      <c r="U362" s="323">
        <v>43</v>
      </c>
      <c r="V362" s="323">
        <v>20</v>
      </c>
      <c r="W362" s="323">
        <v>3899</v>
      </c>
      <c r="X362" s="329" t="s">
        <v>934</v>
      </c>
      <c r="Y362" s="330">
        <v>0</v>
      </c>
      <c r="Z362" s="330">
        <v>0</v>
      </c>
      <c r="AA362" s="330">
        <v>0</v>
      </c>
      <c r="AB362" s="330">
        <v>0</v>
      </c>
      <c r="AC362" s="330">
        <v>0</v>
      </c>
      <c r="AD362" s="330">
        <v>0</v>
      </c>
      <c r="AE362" s="330">
        <v>0</v>
      </c>
      <c r="AF362" s="330">
        <v>0</v>
      </c>
      <c r="AG362" s="328">
        <v>0</v>
      </c>
      <c r="AH362" s="329" t="s">
        <v>934</v>
      </c>
      <c r="AI362" s="184">
        <v>12</v>
      </c>
      <c r="AJ362" s="184">
        <v>82</v>
      </c>
      <c r="AK362" s="184">
        <v>121</v>
      </c>
      <c r="AL362" s="184">
        <v>82</v>
      </c>
      <c r="AM362" s="184">
        <v>50</v>
      </c>
      <c r="AN362" s="184">
        <v>21</v>
      </c>
      <c r="AO362" s="184">
        <v>25</v>
      </c>
      <c r="AP362" s="184">
        <v>14</v>
      </c>
      <c r="AQ362" s="336">
        <v>407</v>
      </c>
      <c r="AR362" s="323">
        <v>0</v>
      </c>
      <c r="AS362" s="323">
        <v>5685</v>
      </c>
      <c r="AT362" s="323">
        <v>8729</v>
      </c>
      <c r="AU362" s="323">
        <v>7200</v>
      </c>
      <c r="AV362" s="323">
        <v>2771</v>
      </c>
      <c r="AW362" s="323">
        <v>1145</v>
      </c>
      <c r="AX362" s="323">
        <v>406</v>
      </c>
      <c r="AY362" s="323">
        <v>135</v>
      </c>
      <c r="AZ362" s="323">
        <v>2</v>
      </c>
      <c r="BA362" s="323">
        <v>26073</v>
      </c>
      <c r="BB362" s="331">
        <v>0</v>
      </c>
      <c r="BC362" s="330">
        <v>109</v>
      </c>
      <c r="BD362" s="330">
        <v>433</v>
      </c>
      <c r="BE362" s="330">
        <v>356</v>
      </c>
      <c r="BF362" s="330">
        <v>163</v>
      </c>
      <c r="BG362" s="330">
        <v>68</v>
      </c>
      <c r="BH362" s="330">
        <v>32</v>
      </c>
      <c r="BI362" s="330">
        <v>19</v>
      </c>
      <c r="BJ362" s="330">
        <v>0</v>
      </c>
      <c r="BK362" s="328">
        <v>1180</v>
      </c>
      <c r="BL362" s="323">
        <v>0</v>
      </c>
      <c r="BM362" s="323">
        <v>33</v>
      </c>
      <c r="BN362" s="323">
        <v>20</v>
      </c>
      <c r="BO362" s="323">
        <v>22</v>
      </c>
      <c r="BP362" s="323">
        <v>21</v>
      </c>
      <c r="BQ362" s="323">
        <v>15</v>
      </c>
      <c r="BR362" s="323">
        <v>23</v>
      </c>
      <c r="BS362" s="323">
        <v>29</v>
      </c>
      <c r="BT362" s="323">
        <v>5</v>
      </c>
      <c r="BU362" s="323">
        <v>159</v>
      </c>
      <c r="BV362" s="329" t="s">
        <v>934</v>
      </c>
      <c r="BW362" s="330">
        <v>39</v>
      </c>
      <c r="BX362" s="330">
        <v>91</v>
      </c>
      <c r="BY362" s="330">
        <v>117</v>
      </c>
      <c r="BZ362" s="330">
        <v>90</v>
      </c>
      <c r="CA362" s="330">
        <v>57</v>
      </c>
      <c r="CB362" s="330">
        <v>28</v>
      </c>
      <c r="CC362" s="330">
        <v>16</v>
      </c>
      <c r="CD362" s="330">
        <v>1</v>
      </c>
      <c r="CE362" s="328">
        <v>439</v>
      </c>
      <c r="CF362" s="322" t="s">
        <v>934</v>
      </c>
      <c r="CG362" s="323">
        <v>2</v>
      </c>
      <c r="CH362" s="323">
        <v>3</v>
      </c>
      <c r="CI362" s="323">
        <v>3</v>
      </c>
      <c r="CJ362" s="323">
        <v>3</v>
      </c>
      <c r="CK362" s="323">
        <v>2</v>
      </c>
      <c r="CL362" s="323">
        <v>0</v>
      </c>
      <c r="CM362" s="323">
        <v>0</v>
      </c>
      <c r="CN362" s="323">
        <v>0</v>
      </c>
      <c r="CO362" s="323">
        <v>13</v>
      </c>
      <c r="CP362" s="329" t="s">
        <v>934</v>
      </c>
      <c r="CQ362" s="330">
        <v>0</v>
      </c>
      <c r="CR362" s="330">
        <v>0</v>
      </c>
      <c r="CS362" s="330">
        <v>0</v>
      </c>
      <c r="CT362" s="330">
        <v>0</v>
      </c>
      <c r="CU362" s="330">
        <v>0</v>
      </c>
      <c r="CV362" s="330">
        <v>0</v>
      </c>
      <c r="CW362" s="330">
        <v>0</v>
      </c>
      <c r="CX362" s="330">
        <v>0</v>
      </c>
      <c r="CY362" s="328">
        <v>0</v>
      </c>
      <c r="CZ362" s="322" t="s">
        <v>934</v>
      </c>
      <c r="DA362" s="323">
        <v>153</v>
      </c>
      <c r="DB362" s="323">
        <v>209</v>
      </c>
      <c r="DC362" s="323">
        <v>201</v>
      </c>
      <c r="DD362" s="323">
        <v>104</v>
      </c>
      <c r="DE362" s="323">
        <v>44</v>
      </c>
      <c r="DF362" s="323">
        <v>24</v>
      </c>
      <c r="DG362" s="323">
        <v>12</v>
      </c>
      <c r="DH362" s="323">
        <v>3</v>
      </c>
      <c r="DI362" s="323">
        <v>750</v>
      </c>
      <c r="DJ362" s="337">
        <v>306.9</v>
      </c>
      <c r="DK362" s="644">
        <v>66253.4</v>
      </c>
      <c r="DL362" s="614">
        <v>10557</v>
      </c>
      <c r="DM362" s="614">
        <v>24100</v>
      </c>
      <c r="DN362" s="614">
        <v>25147</v>
      </c>
      <c r="DO362" s="614">
        <v>12315</v>
      </c>
      <c r="DP362" s="614">
        <v>6956</v>
      </c>
      <c r="DQ362" s="614">
        <v>3078</v>
      </c>
      <c r="DR362" s="614">
        <v>1457</v>
      </c>
      <c r="DS362" s="615">
        <v>96</v>
      </c>
      <c r="DT362" s="607">
        <f t="shared" si="5"/>
        <v>83706</v>
      </c>
      <c r="DU362" s="342"/>
      <c r="EC362" s="646"/>
      <c r="EF362" s="123"/>
      <c r="EG362" s="124"/>
    </row>
    <row r="363" spans="1:133" ht="15">
      <c r="A363" s="22">
        <v>355</v>
      </c>
      <c r="B363" s="23" t="s">
        <v>853</v>
      </c>
      <c r="C363" s="24" t="s">
        <v>854</v>
      </c>
      <c r="D363" s="621"/>
      <c r="E363" s="621"/>
      <c r="F363" s="621"/>
      <c r="G363" s="621"/>
      <c r="H363" s="621"/>
      <c r="I363" s="621"/>
      <c r="J363" s="621"/>
      <c r="K363" s="621"/>
      <c r="L363" s="621"/>
      <c r="M363" s="621"/>
      <c r="N363" s="621"/>
      <c r="O363" s="621"/>
      <c r="P363" s="621"/>
      <c r="Q363" s="621"/>
      <c r="R363" s="621"/>
      <c r="S363" s="621"/>
      <c r="T363" s="621"/>
      <c r="U363" s="621"/>
      <c r="V363" s="621"/>
      <c r="W363" s="621"/>
      <c r="X363" s="621"/>
      <c r="Y363" s="621"/>
      <c r="Z363" s="621"/>
      <c r="AA363" s="621"/>
      <c r="AB363" s="621"/>
      <c r="AC363" s="621"/>
      <c r="AD363" s="621"/>
      <c r="AE363" s="621"/>
      <c r="AF363" s="621"/>
      <c r="AG363" s="621"/>
      <c r="AH363" s="621"/>
      <c r="AI363" s="621"/>
      <c r="AJ363" s="621"/>
      <c r="AK363" s="621"/>
      <c r="AL363" s="621"/>
      <c r="AM363" s="621"/>
      <c r="AN363" s="621"/>
      <c r="AO363" s="621"/>
      <c r="AP363" s="621"/>
      <c r="AQ363" s="621"/>
      <c r="AR363" s="621"/>
      <c r="AS363" s="621"/>
      <c r="AT363" s="621"/>
      <c r="AU363" s="621"/>
      <c r="AV363" s="621"/>
      <c r="AW363" s="621"/>
      <c r="AX363" s="621"/>
      <c r="AY363" s="621"/>
      <c r="AZ363" s="621"/>
      <c r="BA363" s="621"/>
      <c r="BB363" s="621"/>
      <c r="BC363" s="621"/>
      <c r="BD363" s="621"/>
      <c r="BE363" s="621"/>
      <c r="BF363" s="621"/>
      <c r="BG363" s="621"/>
      <c r="BH363" s="621"/>
      <c r="BI363" s="621"/>
      <c r="BJ363" s="621"/>
      <c r="BK363" s="621"/>
      <c r="BL363" s="621"/>
      <c r="BM363" s="621"/>
      <c r="BN363" s="621"/>
      <c r="BO363" s="621"/>
      <c r="BP363" s="621"/>
      <c r="BQ363" s="621"/>
      <c r="BR363" s="621"/>
      <c r="BS363" s="621"/>
      <c r="BT363" s="621"/>
      <c r="BU363" s="621"/>
      <c r="BV363" s="621"/>
      <c r="BW363" s="621"/>
      <c r="BX363" s="621"/>
      <c r="BY363" s="621"/>
      <c r="BZ363" s="621"/>
      <c r="CA363" s="621"/>
      <c r="CB363" s="621"/>
      <c r="CC363" s="621"/>
      <c r="CD363" s="621"/>
      <c r="CE363" s="621"/>
      <c r="CF363" s="621"/>
      <c r="CG363" s="621"/>
      <c r="CH363" s="621"/>
      <c r="CI363" s="621"/>
      <c r="CJ363" s="621"/>
      <c r="CK363" s="621"/>
      <c r="CL363" s="621"/>
      <c r="CM363" s="621"/>
      <c r="CN363" s="621"/>
      <c r="CO363" s="621"/>
      <c r="CP363" s="621"/>
      <c r="CQ363" s="621"/>
      <c r="CR363" s="621"/>
      <c r="CS363" s="621"/>
      <c r="CT363" s="621"/>
      <c r="CU363" s="621"/>
      <c r="CV363" s="621"/>
      <c r="CW363" s="621"/>
      <c r="CX363" s="621"/>
      <c r="CY363" s="621"/>
      <c r="CZ363" s="621"/>
      <c r="DA363" s="621"/>
      <c r="DB363" s="621"/>
      <c r="DC363" s="621"/>
      <c r="DD363" s="621"/>
      <c r="DE363" s="621"/>
      <c r="DF363" s="621"/>
      <c r="DG363" s="621"/>
      <c r="DH363" s="621"/>
      <c r="DI363" s="621"/>
      <c r="DJ363" s="645"/>
      <c r="DK363" s="645"/>
      <c r="DL363" s="642"/>
      <c r="DM363" s="621"/>
      <c r="DN363" s="621"/>
      <c r="DO363" s="621"/>
      <c r="DP363" s="621"/>
      <c r="DQ363" s="621"/>
      <c r="DR363" s="621"/>
      <c r="DS363" s="621"/>
      <c r="DT363" s="621"/>
      <c r="EC363" s="647"/>
    </row>
    <row r="364" spans="1:124" ht="15.75" thickBot="1">
      <c r="A364" s="1"/>
      <c r="B364" s="2"/>
      <c r="C364" s="20"/>
      <c r="D364" s="1"/>
      <c r="E364" s="604"/>
      <c r="F364" s="604"/>
      <c r="G364" s="604"/>
      <c r="H364" s="604"/>
      <c r="I364" s="604"/>
      <c r="J364" s="604"/>
      <c r="K364" s="604"/>
      <c r="L364" s="604"/>
      <c r="M364" s="605"/>
      <c r="N364" s="2"/>
      <c r="O364" s="2"/>
      <c r="P364" s="2"/>
      <c r="Q364" s="2"/>
      <c r="R364" s="2"/>
      <c r="S364" s="2"/>
      <c r="T364" s="2"/>
      <c r="U364" s="2"/>
      <c r="V364" s="2"/>
      <c r="W364" s="2"/>
      <c r="X364" s="1"/>
      <c r="Y364" s="2"/>
      <c r="Z364" s="2"/>
      <c r="AA364" s="2"/>
      <c r="AB364" s="2"/>
      <c r="AC364" s="2"/>
      <c r="AD364" s="2"/>
      <c r="AE364" s="2"/>
      <c r="AF364" s="2"/>
      <c r="AG364" s="35"/>
      <c r="AH364" s="1"/>
      <c r="AI364" s="2"/>
      <c r="AJ364" s="2"/>
      <c r="AK364" s="2"/>
      <c r="AL364" s="2"/>
      <c r="AM364" s="2"/>
      <c r="AN364" s="2"/>
      <c r="AO364" s="2"/>
      <c r="AP364" s="2"/>
      <c r="AQ364" s="35"/>
      <c r="AR364" s="2"/>
      <c r="AS364" s="2"/>
      <c r="AT364" s="2"/>
      <c r="AU364" s="2"/>
      <c r="AV364" s="2"/>
      <c r="AW364" s="2"/>
      <c r="AX364" s="2"/>
      <c r="AY364" s="2"/>
      <c r="AZ364" s="2"/>
      <c r="BA364" s="2"/>
      <c r="BB364" s="1"/>
      <c r="BC364" s="2"/>
      <c r="BD364" s="2"/>
      <c r="BE364" s="2"/>
      <c r="BF364" s="2"/>
      <c r="BG364" s="2"/>
      <c r="BH364" s="2"/>
      <c r="BI364" s="2"/>
      <c r="BJ364" s="2"/>
      <c r="BK364" s="35"/>
      <c r="BL364" s="2"/>
      <c r="BM364" s="2"/>
      <c r="BN364" s="2"/>
      <c r="BO364" s="2"/>
      <c r="BP364" s="2"/>
      <c r="BQ364" s="2"/>
      <c r="BR364" s="2"/>
      <c r="BS364" s="2"/>
      <c r="BT364" s="2"/>
      <c r="BU364" s="2"/>
      <c r="BV364" s="1"/>
      <c r="BW364" s="2"/>
      <c r="BX364" s="2"/>
      <c r="BY364" s="2"/>
      <c r="BZ364" s="2"/>
      <c r="CA364" s="2"/>
      <c r="CB364" s="2"/>
      <c r="CC364" s="2"/>
      <c r="CD364" s="2"/>
      <c r="CE364" s="35"/>
      <c r="CF364" s="2"/>
      <c r="CG364" s="2"/>
      <c r="CH364" s="2"/>
      <c r="CI364" s="2"/>
      <c r="CJ364" s="2"/>
      <c r="CK364" s="2"/>
      <c r="CL364" s="2"/>
      <c r="CM364" s="2"/>
      <c r="CN364" s="2"/>
      <c r="CO364" s="2"/>
      <c r="CP364" s="1"/>
      <c r="CQ364" s="2"/>
      <c r="CR364" s="2"/>
      <c r="CS364" s="2"/>
      <c r="CT364" s="2"/>
      <c r="CU364" s="2"/>
      <c r="CV364" s="2"/>
      <c r="CW364" s="2"/>
      <c r="CX364" s="2"/>
      <c r="CY364" s="35"/>
      <c r="CZ364" s="2"/>
      <c r="DA364" s="2"/>
      <c r="DB364" s="2"/>
      <c r="DC364" s="2"/>
      <c r="DD364" s="2"/>
      <c r="DE364" s="2"/>
      <c r="DF364" s="2"/>
      <c r="DG364" s="2"/>
      <c r="DH364" s="2"/>
      <c r="DI364" s="35"/>
      <c r="DJ364" s="43"/>
      <c r="DK364" s="338"/>
      <c r="DL364" s="40"/>
      <c r="DM364" s="40"/>
      <c r="DN364" s="40"/>
      <c r="DO364" s="40"/>
      <c r="DP364" s="40"/>
      <c r="DQ364" s="40"/>
      <c r="DR364" s="40"/>
      <c r="DS364" s="40"/>
      <c r="DT364" s="41"/>
    </row>
    <row r="365" spans="5:115" ht="15">
      <c r="E365" s="606"/>
      <c r="F365" s="606"/>
      <c r="G365" s="606"/>
      <c r="H365" s="606"/>
      <c r="I365" s="606"/>
      <c r="J365" s="606"/>
      <c r="K365" s="606"/>
      <c r="L365" s="606"/>
      <c r="M365" s="606"/>
      <c r="DK365" s="339"/>
    </row>
    <row r="366" spans="5:115" ht="15">
      <c r="E366" s="606"/>
      <c r="F366" s="606"/>
      <c r="G366" s="606"/>
      <c r="H366" s="606"/>
      <c r="I366" s="606"/>
      <c r="J366" s="606"/>
      <c r="K366" s="606"/>
      <c r="L366" s="606"/>
      <c r="M366" s="606"/>
      <c r="DK366" s="339"/>
    </row>
    <row r="367" spans="5:115" ht="15">
      <c r="E367" s="606"/>
      <c r="F367" s="606"/>
      <c r="G367" s="606"/>
      <c r="H367" s="606"/>
      <c r="I367" s="606"/>
      <c r="J367" s="606"/>
      <c r="K367" s="606"/>
      <c r="L367" s="606"/>
      <c r="M367" s="606"/>
      <c r="DK367" s="339"/>
    </row>
    <row r="368" spans="5:115" ht="15">
      <c r="E368" s="606"/>
      <c r="F368" s="606"/>
      <c r="G368" s="606"/>
      <c r="H368" s="606"/>
      <c r="I368" s="606"/>
      <c r="J368" s="606"/>
      <c r="K368" s="606"/>
      <c r="L368" s="606"/>
      <c r="M368" s="606"/>
      <c r="DK368" s="339"/>
    </row>
    <row r="369" spans="5:115" ht="15">
      <c r="E369" s="606"/>
      <c r="F369" s="606"/>
      <c r="G369" s="606"/>
      <c r="H369" s="606"/>
      <c r="I369" s="606"/>
      <c r="J369" s="606"/>
      <c r="K369" s="606"/>
      <c r="L369" s="606"/>
      <c r="M369" s="606"/>
      <c r="DK369" s="339"/>
    </row>
    <row r="370" spans="5:115" ht="15">
      <c r="E370" s="606"/>
      <c r="F370" s="606"/>
      <c r="G370" s="606"/>
      <c r="H370" s="606"/>
      <c r="I370" s="606"/>
      <c r="J370" s="606"/>
      <c r="K370" s="606"/>
      <c r="L370" s="606"/>
      <c r="M370" s="606"/>
      <c r="DK370" s="339"/>
    </row>
    <row r="371" spans="5:115" ht="15">
      <c r="E371" s="606"/>
      <c r="F371" s="606"/>
      <c r="G371" s="606"/>
      <c r="H371" s="606"/>
      <c r="I371" s="606"/>
      <c r="J371" s="606"/>
      <c r="K371" s="606"/>
      <c r="L371" s="606"/>
      <c r="M371" s="606"/>
      <c r="DK371" s="339"/>
    </row>
    <row r="372" spans="5:115" ht="15">
      <c r="E372" s="606"/>
      <c r="F372" s="606"/>
      <c r="G372" s="606"/>
      <c r="H372" s="606"/>
      <c r="I372" s="606"/>
      <c r="J372" s="606"/>
      <c r="K372" s="606"/>
      <c r="L372" s="606"/>
      <c r="M372" s="606"/>
      <c r="DK372" s="339"/>
    </row>
    <row r="373" spans="5:115" ht="15">
      <c r="E373" s="606"/>
      <c r="F373" s="606"/>
      <c r="G373" s="606"/>
      <c r="H373" s="606"/>
      <c r="I373" s="606"/>
      <c r="J373" s="606"/>
      <c r="K373" s="606"/>
      <c r="L373" s="606"/>
      <c r="M373" s="606"/>
      <c r="DK373" s="339"/>
    </row>
    <row r="374" spans="5:115" ht="15">
      <c r="E374" s="606"/>
      <c r="F374" s="606"/>
      <c r="G374" s="606"/>
      <c r="H374" s="606"/>
      <c r="I374" s="606"/>
      <c r="J374" s="606"/>
      <c r="K374" s="606"/>
      <c r="L374" s="606"/>
      <c r="M374" s="606"/>
      <c r="DK374" s="339"/>
    </row>
    <row r="375" spans="5:115" ht="15">
      <c r="E375" s="606"/>
      <c r="F375" s="606"/>
      <c r="G375" s="606"/>
      <c r="H375" s="606"/>
      <c r="I375" s="606"/>
      <c r="J375" s="606"/>
      <c r="K375" s="606"/>
      <c r="L375" s="606"/>
      <c r="M375" s="606"/>
      <c r="DK375" s="339"/>
    </row>
    <row r="376" spans="5:115" ht="15">
      <c r="E376" s="606"/>
      <c r="F376" s="606"/>
      <c r="G376" s="606"/>
      <c r="H376" s="606"/>
      <c r="I376" s="606"/>
      <c r="J376" s="606"/>
      <c r="K376" s="606"/>
      <c r="L376" s="606"/>
      <c r="M376" s="606"/>
      <c r="DK376" s="339"/>
    </row>
    <row r="377" spans="5:115" ht="15">
      <c r="E377" s="606"/>
      <c r="F377" s="606"/>
      <c r="G377" s="606"/>
      <c r="H377" s="606"/>
      <c r="I377" s="606"/>
      <c r="J377" s="606"/>
      <c r="K377" s="606"/>
      <c r="L377" s="606"/>
      <c r="M377" s="606"/>
      <c r="DK377" s="339"/>
    </row>
    <row r="378" spans="5:115" ht="15">
      <c r="E378" s="606"/>
      <c r="F378" s="606"/>
      <c r="G378" s="606"/>
      <c r="H378" s="606"/>
      <c r="I378" s="606"/>
      <c r="J378" s="606"/>
      <c r="K378" s="606"/>
      <c r="L378" s="606"/>
      <c r="M378" s="606"/>
      <c r="DK378" s="339"/>
    </row>
    <row r="379" spans="5:115" ht="15">
      <c r="E379" s="606"/>
      <c r="F379" s="606"/>
      <c r="G379" s="606"/>
      <c r="H379" s="606"/>
      <c r="I379" s="606"/>
      <c r="J379" s="606"/>
      <c r="K379" s="606"/>
      <c r="L379" s="606"/>
      <c r="M379" s="606"/>
      <c r="DK379" s="339"/>
    </row>
    <row r="380" spans="5:115" ht="15">
      <c r="E380" s="606"/>
      <c r="F380" s="606"/>
      <c r="G380" s="606"/>
      <c r="H380" s="606"/>
      <c r="I380" s="606"/>
      <c r="J380" s="606"/>
      <c r="K380" s="606"/>
      <c r="L380" s="606"/>
      <c r="M380" s="606"/>
      <c r="DK380" s="339"/>
    </row>
    <row r="381" spans="5:115" ht="15">
      <c r="E381" s="606"/>
      <c r="F381" s="606"/>
      <c r="G381" s="606"/>
      <c r="H381" s="606"/>
      <c r="I381" s="606"/>
      <c r="J381" s="606"/>
      <c r="K381" s="606"/>
      <c r="L381" s="606"/>
      <c r="M381" s="606"/>
      <c r="DK381" s="339"/>
    </row>
    <row r="382" spans="5:115" ht="15">
      <c r="E382" s="606"/>
      <c r="F382" s="606"/>
      <c r="G382" s="606"/>
      <c r="H382" s="606"/>
      <c r="I382" s="606"/>
      <c r="J382" s="606"/>
      <c r="K382" s="606"/>
      <c r="L382" s="606"/>
      <c r="M382" s="606"/>
      <c r="DK382" s="339"/>
    </row>
    <row r="383" spans="5:115" ht="15">
      <c r="E383" s="606"/>
      <c r="F383" s="606"/>
      <c r="G383" s="606"/>
      <c r="H383" s="606"/>
      <c r="I383" s="606"/>
      <c r="J383" s="606"/>
      <c r="K383" s="606"/>
      <c r="L383" s="606"/>
      <c r="M383" s="606"/>
      <c r="DK383" s="339"/>
    </row>
    <row r="384" spans="5:115" ht="15">
      <c r="E384" s="606"/>
      <c r="F384" s="606"/>
      <c r="G384" s="606"/>
      <c r="H384" s="606"/>
      <c r="I384" s="606"/>
      <c r="J384" s="606"/>
      <c r="K384" s="606"/>
      <c r="L384" s="606"/>
      <c r="M384" s="606"/>
      <c r="DK384" s="339"/>
    </row>
    <row r="385" spans="5:115" ht="15">
      <c r="E385" s="606"/>
      <c r="F385" s="606"/>
      <c r="G385" s="606"/>
      <c r="H385" s="606"/>
      <c r="I385" s="606"/>
      <c r="J385" s="606"/>
      <c r="K385" s="606"/>
      <c r="L385" s="606"/>
      <c r="M385" s="606"/>
      <c r="DK385" s="339"/>
    </row>
    <row r="386" spans="5:115" ht="15">
      <c r="E386" s="606"/>
      <c r="F386" s="606"/>
      <c r="G386" s="606"/>
      <c r="H386" s="606"/>
      <c r="I386" s="606"/>
      <c r="J386" s="606"/>
      <c r="K386" s="606"/>
      <c r="L386" s="606"/>
      <c r="M386" s="606"/>
      <c r="DK386" s="339"/>
    </row>
    <row r="387" spans="5:115" ht="15">
      <c r="E387" s="606"/>
      <c r="F387" s="606"/>
      <c r="G387" s="606"/>
      <c r="H387" s="606"/>
      <c r="I387" s="606"/>
      <c r="J387" s="606"/>
      <c r="K387" s="606"/>
      <c r="L387" s="606"/>
      <c r="M387" s="606"/>
      <c r="DK387" s="339"/>
    </row>
    <row r="388" spans="5:115" ht="15">
      <c r="E388" s="606"/>
      <c r="F388" s="606"/>
      <c r="G388" s="606"/>
      <c r="H388" s="606"/>
      <c r="I388" s="606"/>
      <c r="J388" s="606"/>
      <c r="K388" s="606"/>
      <c r="L388" s="606"/>
      <c r="M388" s="606"/>
      <c r="DK388" s="339"/>
    </row>
    <row r="389" spans="5:115" ht="15">
      <c r="E389" s="606"/>
      <c r="F389" s="606"/>
      <c r="G389" s="606"/>
      <c r="H389" s="606"/>
      <c r="I389" s="606"/>
      <c r="J389" s="606"/>
      <c r="K389" s="606"/>
      <c r="L389" s="606"/>
      <c r="M389" s="606"/>
      <c r="DK389" s="339"/>
    </row>
    <row r="390" spans="5:115" ht="15">
      <c r="E390" s="606"/>
      <c r="F390" s="606"/>
      <c r="G390" s="606"/>
      <c r="H390" s="606"/>
      <c r="I390" s="606"/>
      <c r="J390" s="606"/>
      <c r="K390" s="606"/>
      <c r="L390" s="606"/>
      <c r="M390" s="606"/>
      <c r="DK390" s="339"/>
    </row>
    <row r="391" spans="5:115" ht="15">
      <c r="E391" s="606"/>
      <c r="F391" s="606"/>
      <c r="G391" s="606"/>
      <c r="H391" s="606"/>
      <c r="I391" s="606"/>
      <c r="J391" s="606"/>
      <c r="K391" s="606"/>
      <c r="L391" s="606"/>
      <c r="M391" s="606"/>
      <c r="DK391" s="339"/>
    </row>
    <row r="392" spans="5:115" ht="15">
      <c r="E392" s="606"/>
      <c r="F392" s="606"/>
      <c r="G392" s="606"/>
      <c r="H392" s="606"/>
      <c r="I392" s="606"/>
      <c r="J392" s="606"/>
      <c r="K392" s="606"/>
      <c r="L392" s="606"/>
      <c r="M392" s="606"/>
      <c r="DK392" s="339"/>
    </row>
    <row r="393" spans="5:115" ht="15">
      <c r="E393" s="606"/>
      <c r="F393" s="606"/>
      <c r="G393" s="606"/>
      <c r="H393" s="606"/>
      <c r="I393" s="606"/>
      <c r="J393" s="606"/>
      <c r="K393" s="606"/>
      <c r="L393" s="606"/>
      <c r="M393" s="606"/>
      <c r="DK393" s="339"/>
    </row>
    <row r="394" spans="5:115" ht="15">
      <c r="E394" s="606"/>
      <c r="F394" s="606"/>
      <c r="G394" s="606"/>
      <c r="H394" s="606"/>
      <c r="I394" s="606"/>
      <c r="J394" s="606"/>
      <c r="K394" s="606"/>
      <c r="L394" s="606"/>
      <c r="M394" s="606"/>
      <c r="DK394" s="339"/>
    </row>
    <row r="395" spans="5:115" ht="15">
      <c r="E395" s="606"/>
      <c r="F395" s="606"/>
      <c r="G395" s="606"/>
      <c r="H395" s="606"/>
      <c r="I395" s="606"/>
      <c r="J395" s="606"/>
      <c r="K395" s="606"/>
      <c r="L395" s="606"/>
      <c r="M395" s="606"/>
      <c r="DK395" s="339"/>
    </row>
    <row r="396" spans="5:115" ht="15">
      <c r="E396" s="606"/>
      <c r="F396" s="606"/>
      <c r="G396" s="606"/>
      <c r="H396" s="606"/>
      <c r="I396" s="606"/>
      <c r="J396" s="606"/>
      <c r="K396" s="606"/>
      <c r="L396" s="606"/>
      <c r="M396" s="606"/>
      <c r="DK396" s="339"/>
    </row>
    <row r="397" spans="5:115" ht="15">
      <c r="E397" s="606"/>
      <c r="F397" s="606"/>
      <c r="G397" s="606"/>
      <c r="H397" s="606"/>
      <c r="I397" s="606"/>
      <c r="J397" s="606"/>
      <c r="K397" s="606"/>
      <c r="L397" s="606"/>
      <c r="M397" s="606"/>
      <c r="DK397" s="339"/>
    </row>
    <row r="398" spans="5:115" ht="15">
      <c r="E398" s="606"/>
      <c r="F398" s="606"/>
      <c r="G398" s="606"/>
      <c r="H398" s="606"/>
      <c r="I398" s="606"/>
      <c r="J398" s="606"/>
      <c r="K398" s="606"/>
      <c r="L398" s="606"/>
      <c r="M398" s="606"/>
      <c r="DK398" s="339"/>
    </row>
    <row r="399" spans="5:115" ht="15">
      <c r="E399" s="606"/>
      <c r="F399" s="606"/>
      <c r="G399" s="606"/>
      <c r="H399" s="606"/>
      <c r="I399" s="606"/>
      <c r="J399" s="606"/>
      <c r="K399" s="606"/>
      <c r="L399" s="606"/>
      <c r="M399" s="606"/>
      <c r="DK399" s="339"/>
    </row>
    <row r="400" spans="5:115" ht="15">
      <c r="E400" s="606"/>
      <c r="F400" s="606"/>
      <c r="G400" s="606"/>
      <c r="H400" s="606"/>
      <c r="I400" s="606"/>
      <c r="J400" s="606"/>
      <c r="K400" s="606"/>
      <c r="L400" s="606"/>
      <c r="M400" s="606"/>
      <c r="DK400" s="339"/>
    </row>
    <row r="401" spans="5:115" ht="15">
      <c r="E401" s="606"/>
      <c r="F401" s="606"/>
      <c r="G401" s="606"/>
      <c r="H401" s="606"/>
      <c r="I401" s="606"/>
      <c r="J401" s="606"/>
      <c r="K401" s="606"/>
      <c r="L401" s="606"/>
      <c r="M401" s="606"/>
      <c r="DK401" s="339"/>
    </row>
    <row r="402" spans="5:115" ht="15">
      <c r="E402" s="606"/>
      <c r="F402" s="606"/>
      <c r="G402" s="606"/>
      <c r="H402" s="606"/>
      <c r="I402" s="606"/>
      <c r="J402" s="606"/>
      <c r="K402" s="606"/>
      <c r="L402" s="606"/>
      <c r="M402" s="606"/>
      <c r="DK402" s="339"/>
    </row>
    <row r="403" spans="5:115" ht="15">
      <c r="E403" s="606"/>
      <c r="F403" s="606"/>
      <c r="G403" s="606"/>
      <c r="H403" s="606"/>
      <c r="I403" s="606"/>
      <c r="J403" s="606"/>
      <c r="K403" s="606"/>
      <c r="L403" s="606"/>
      <c r="M403" s="606"/>
      <c r="DK403" s="339"/>
    </row>
    <row r="404" spans="5:115" ht="15">
      <c r="E404" s="606"/>
      <c r="F404" s="606"/>
      <c r="G404" s="606"/>
      <c r="H404" s="606"/>
      <c r="I404" s="606"/>
      <c r="J404" s="606"/>
      <c r="K404" s="606"/>
      <c r="L404" s="606"/>
      <c r="M404" s="606"/>
      <c r="DK404" s="339"/>
    </row>
    <row r="405" spans="5:115" ht="15">
      <c r="E405" s="606"/>
      <c r="F405" s="606"/>
      <c r="G405" s="606"/>
      <c r="H405" s="606"/>
      <c r="I405" s="606"/>
      <c r="J405" s="606"/>
      <c r="K405" s="606"/>
      <c r="L405" s="606"/>
      <c r="M405" s="606"/>
      <c r="DK405" s="339"/>
    </row>
    <row r="406" spans="5:115" ht="15">
      <c r="E406" s="606"/>
      <c r="F406" s="606"/>
      <c r="G406" s="606"/>
      <c r="H406" s="606"/>
      <c r="I406" s="606"/>
      <c r="J406" s="606"/>
      <c r="K406" s="606"/>
      <c r="L406" s="606"/>
      <c r="M406" s="606"/>
      <c r="DK406" s="339"/>
    </row>
    <row r="407" spans="5:115" ht="15">
      <c r="E407" s="606"/>
      <c r="F407" s="606"/>
      <c r="G407" s="606"/>
      <c r="H407" s="606"/>
      <c r="I407" s="606"/>
      <c r="J407" s="606"/>
      <c r="K407" s="606"/>
      <c r="L407" s="606"/>
      <c r="M407" s="606"/>
      <c r="DK407" s="339"/>
    </row>
    <row r="408" spans="5:115" ht="15">
      <c r="E408" s="606"/>
      <c r="F408" s="606"/>
      <c r="G408" s="606"/>
      <c r="H408" s="606"/>
      <c r="I408" s="606"/>
      <c r="J408" s="606"/>
      <c r="K408" s="606"/>
      <c r="L408" s="606"/>
      <c r="M408" s="606"/>
      <c r="DK408" s="339"/>
    </row>
    <row r="409" spans="5:115" ht="15">
      <c r="E409" s="606"/>
      <c r="F409" s="606"/>
      <c r="G409" s="606"/>
      <c r="H409" s="606"/>
      <c r="I409" s="606"/>
      <c r="J409" s="606"/>
      <c r="K409" s="606"/>
      <c r="L409" s="606"/>
      <c r="M409" s="606"/>
      <c r="DK409" s="339"/>
    </row>
    <row r="410" spans="5:115" ht="15">
      <c r="E410" s="606"/>
      <c r="F410" s="606"/>
      <c r="G410" s="606"/>
      <c r="H410" s="606"/>
      <c r="I410" s="606"/>
      <c r="J410" s="606"/>
      <c r="K410" s="606"/>
      <c r="L410" s="606"/>
      <c r="M410" s="606"/>
      <c r="DK410" s="339"/>
    </row>
    <row r="411" spans="5:115" ht="15">
      <c r="E411" s="606"/>
      <c r="F411" s="606"/>
      <c r="G411" s="606"/>
      <c r="H411" s="606"/>
      <c r="I411" s="606"/>
      <c r="J411" s="606"/>
      <c r="K411" s="606"/>
      <c r="L411" s="606"/>
      <c r="M411" s="606"/>
      <c r="DK411" s="339"/>
    </row>
    <row r="412" spans="5:115" ht="15">
      <c r="E412" s="606"/>
      <c r="F412" s="606"/>
      <c r="G412" s="606"/>
      <c r="H412" s="606"/>
      <c r="I412" s="606"/>
      <c r="J412" s="606"/>
      <c r="K412" s="606"/>
      <c r="L412" s="606"/>
      <c r="M412" s="606"/>
      <c r="DK412" s="339"/>
    </row>
    <row r="413" spans="5:115" ht="15">
      <c r="E413" s="606"/>
      <c r="F413" s="606"/>
      <c r="G413" s="606"/>
      <c r="H413" s="606"/>
      <c r="I413" s="606"/>
      <c r="J413" s="606"/>
      <c r="K413" s="606"/>
      <c r="L413" s="606"/>
      <c r="M413" s="606"/>
      <c r="DK413" s="339"/>
    </row>
    <row r="414" spans="5:115" ht="15">
      <c r="E414" s="606"/>
      <c r="F414" s="606"/>
      <c r="G414" s="606"/>
      <c r="H414" s="606"/>
      <c r="I414" s="606"/>
      <c r="J414" s="606"/>
      <c r="K414" s="606"/>
      <c r="L414" s="606"/>
      <c r="M414" s="606"/>
      <c r="DK414" s="339"/>
    </row>
    <row r="415" spans="5:115" ht="15">
      <c r="E415" s="606"/>
      <c r="F415" s="606"/>
      <c r="G415" s="606"/>
      <c r="H415" s="606"/>
      <c r="I415" s="606"/>
      <c r="J415" s="606"/>
      <c r="K415" s="606"/>
      <c r="L415" s="606"/>
      <c r="M415" s="606"/>
      <c r="DK415" s="339"/>
    </row>
    <row r="416" spans="5:115" ht="15">
      <c r="E416" s="606"/>
      <c r="F416" s="606"/>
      <c r="G416" s="606"/>
      <c r="H416" s="606"/>
      <c r="I416" s="606"/>
      <c r="J416" s="606"/>
      <c r="K416" s="606"/>
      <c r="L416" s="606"/>
      <c r="M416" s="606"/>
      <c r="DK416" s="339"/>
    </row>
    <row r="417" spans="5:115" ht="15">
      <c r="E417" s="606"/>
      <c r="F417" s="606"/>
      <c r="G417" s="606"/>
      <c r="H417" s="606"/>
      <c r="I417" s="606"/>
      <c r="J417" s="606"/>
      <c r="K417" s="606"/>
      <c r="L417" s="606"/>
      <c r="M417" s="606"/>
      <c r="DK417" s="339"/>
    </row>
    <row r="418" spans="5:115" ht="15">
      <c r="E418" s="606"/>
      <c r="F418" s="606"/>
      <c r="G418" s="606"/>
      <c r="H418" s="606"/>
      <c r="I418" s="606"/>
      <c r="J418" s="606"/>
      <c r="K418" s="606"/>
      <c r="L418" s="606"/>
      <c r="M418" s="606"/>
      <c r="DK418" s="339"/>
    </row>
    <row r="419" spans="5:115" ht="15">
      <c r="E419" s="606"/>
      <c r="F419" s="606"/>
      <c r="G419" s="606"/>
      <c r="H419" s="606"/>
      <c r="I419" s="606"/>
      <c r="J419" s="606"/>
      <c r="K419" s="606"/>
      <c r="L419" s="606"/>
      <c r="M419" s="606"/>
      <c r="DK419" s="339"/>
    </row>
    <row r="420" spans="5:115" ht="15">
      <c r="E420" s="606"/>
      <c r="F420" s="606"/>
      <c r="G420" s="606"/>
      <c r="H420" s="606"/>
      <c r="I420" s="606"/>
      <c r="J420" s="606"/>
      <c r="K420" s="606"/>
      <c r="L420" s="606"/>
      <c r="M420" s="606"/>
      <c r="DK420" s="339"/>
    </row>
    <row r="421" spans="5:115" ht="15">
      <c r="E421" s="606"/>
      <c r="F421" s="606"/>
      <c r="G421" s="606"/>
      <c r="H421" s="606"/>
      <c r="I421" s="606"/>
      <c r="J421" s="606"/>
      <c r="K421" s="606"/>
      <c r="L421" s="606"/>
      <c r="M421" s="606"/>
      <c r="DK421" s="339"/>
    </row>
    <row r="422" spans="5:115" ht="15">
      <c r="E422" s="606"/>
      <c r="F422" s="606"/>
      <c r="G422" s="606"/>
      <c r="H422" s="606"/>
      <c r="I422" s="606"/>
      <c r="J422" s="606"/>
      <c r="K422" s="606"/>
      <c r="L422" s="606"/>
      <c r="M422" s="606"/>
      <c r="DK422" s="339"/>
    </row>
    <row r="423" spans="5:115" ht="15">
      <c r="E423" s="606"/>
      <c r="F423" s="606"/>
      <c r="G423" s="606"/>
      <c r="H423" s="606"/>
      <c r="I423" s="606"/>
      <c r="J423" s="606"/>
      <c r="K423" s="606"/>
      <c r="L423" s="606"/>
      <c r="M423" s="606"/>
      <c r="DK423" s="339"/>
    </row>
    <row r="424" spans="5:115" ht="15">
      <c r="E424" s="606"/>
      <c r="F424" s="606"/>
      <c r="G424" s="606"/>
      <c r="H424" s="606"/>
      <c r="I424" s="606"/>
      <c r="J424" s="606"/>
      <c r="K424" s="606"/>
      <c r="L424" s="606"/>
      <c r="M424" s="606"/>
      <c r="DK424" s="339"/>
    </row>
    <row r="425" spans="5:115" ht="15">
      <c r="E425" s="606"/>
      <c r="F425" s="606"/>
      <c r="G425" s="606"/>
      <c r="H425" s="606"/>
      <c r="I425" s="606"/>
      <c r="J425" s="606"/>
      <c r="K425" s="606"/>
      <c r="L425" s="606"/>
      <c r="M425" s="606"/>
      <c r="DK425" s="339"/>
    </row>
    <row r="426" spans="5:115" ht="15">
      <c r="E426" s="606"/>
      <c r="F426" s="606"/>
      <c r="G426" s="606"/>
      <c r="H426" s="606"/>
      <c r="I426" s="606"/>
      <c r="J426" s="606"/>
      <c r="K426" s="606"/>
      <c r="L426" s="606"/>
      <c r="M426" s="606"/>
      <c r="DK426" s="339"/>
    </row>
    <row r="427" spans="5:115" ht="15">
      <c r="E427" s="606"/>
      <c r="F427" s="606"/>
      <c r="G427" s="606"/>
      <c r="H427" s="606"/>
      <c r="I427" s="606"/>
      <c r="J427" s="606"/>
      <c r="K427" s="606"/>
      <c r="L427" s="606"/>
      <c r="M427" s="606"/>
      <c r="DK427" s="339"/>
    </row>
    <row r="428" spans="5:115" ht="15">
      <c r="E428" s="606"/>
      <c r="F428" s="606"/>
      <c r="G428" s="606"/>
      <c r="H428" s="606"/>
      <c r="I428" s="606"/>
      <c r="J428" s="606"/>
      <c r="K428" s="606"/>
      <c r="L428" s="606"/>
      <c r="M428" s="606"/>
      <c r="DK428" s="339"/>
    </row>
    <row r="429" spans="5:115" ht="15">
      <c r="E429" s="606"/>
      <c r="F429" s="606"/>
      <c r="G429" s="606"/>
      <c r="H429" s="606"/>
      <c r="I429" s="606"/>
      <c r="J429" s="606"/>
      <c r="K429" s="606"/>
      <c r="L429" s="606"/>
      <c r="M429" s="606"/>
      <c r="DK429" s="339"/>
    </row>
    <row r="430" spans="5:115" ht="15">
      <c r="E430" s="606"/>
      <c r="F430" s="606"/>
      <c r="G430" s="606"/>
      <c r="H430" s="606"/>
      <c r="I430" s="606"/>
      <c r="J430" s="606"/>
      <c r="K430" s="606"/>
      <c r="L430" s="606"/>
      <c r="M430" s="606"/>
      <c r="DK430" s="339"/>
    </row>
    <row r="431" spans="5:115" ht="15">
      <c r="E431" s="606"/>
      <c r="F431" s="606"/>
      <c r="G431" s="606"/>
      <c r="H431" s="606"/>
      <c r="I431" s="606"/>
      <c r="J431" s="606"/>
      <c r="K431" s="606"/>
      <c r="L431" s="606"/>
      <c r="M431" s="606"/>
      <c r="DK431" s="339"/>
    </row>
    <row r="432" spans="5:115" ht="15">
      <c r="E432" s="606"/>
      <c r="F432" s="606"/>
      <c r="G432" s="606"/>
      <c r="H432" s="606"/>
      <c r="I432" s="606"/>
      <c r="J432" s="606"/>
      <c r="K432" s="606"/>
      <c r="L432" s="606"/>
      <c r="M432" s="606"/>
      <c r="DK432" s="339"/>
    </row>
    <row r="433" spans="5:115" ht="15">
      <c r="E433" s="606"/>
      <c r="F433" s="606"/>
      <c r="G433" s="606"/>
      <c r="H433" s="606"/>
      <c r="I433" s="606"/>
      <c r="J433" s="606"/>
      <c r="K433" s="606"/>
      <c r="L433" s="606"/>
      <c r="M433" s="606"/>
      <c r="DK433" s="339"/>
    </row>
    <row r="434" spans="5:115" ht="15">
      <c r="E434" s="606"/>
      <c r="F434" s="606"/>
      <c r="G434" s="606"/>
      <c r="H434" s="606"/>
      <c r="I434" s="606"/>
      <c r="J434" s="606"/>
      <c r="K434" s="606"/>
      <c r="L434" s="606"/>
      <c r="M434" s="606"/>
      <c r="DK434" s="339"/>
    </row>
    <row r="435" spans="5:115" ht="15">
      <c r="E435" s="606"/>
      <c r="F435" s="606"/>
      <c r="G435" s="606"/>
      <c r="H435" s="606"/>
      <c r="I435" s="606"/>
      <c r="J435" s="606"/>
      <c r="K435" s="606"/>
      <c r="L435" s="606"/>
      <c r="M435" s="606"/>
      <c r="DK435" s="339"/>
    </row>
    <row r="436" spans="5:115" ht="15">
      <c r="E436" s="606"/>
      <c r="F436" s="606"/>
      <c r="G436" s="606"/>
      <c r="H436" s="606"/>
      <c r="I436" s="606"/>
      <c r="J436" s="606"/>
      <c r="K436" s="606"/>
      <c r="L436" s="606"/>
      <c r="M436" s="606"/>
      <c r="DK436" s="339"/>
    </row>
    <row r="437" spans="5:115" ht="15">
      <c r="E437" s="606"/>
      <c r="F437" s="606"/>
      <c r="G437" s="606"/>
      <c r="H437" s="606"/>
      <c r="I437" s="606"/>
      <c r="J437" s="606"/>
      <c r="K437" s="606"/>
      <c r="L437" s="606"/>
      <c r="M437" s="606"/>
      <c r="DK437" s="339"/>
    </row>
    <row r="438" spans="5:115" ht="15">
      <c r="E438" s="606"/>
      <c r="F438" s="606"/>
      <c r="G438" s="606"/>
      <c r="H438" s="606"/>
      <c r="I438" s="606"/>
      <c r="J438" s="606"/>
      <c r="K438" s="606"/>
      <c r="L438" s="606"/>
      <c r="M438" s="606"/>
      <c r="DK438" s="339"/>
    </row>
    <row r="439" spans="5:115" ht="15">
      <c r="E439" s="606"/>
      <c r="F439" s="606"/>
      <c r="G439" s="606"/>
      <c r="H439" s="606"/>
      <c r="I439" s="606"/>
      <c r="J439" s="606"/>
      <c r="K439" s="606"/>
      <c r="L439" s="606"/>
      <c r="M439" s="606"/>
      <c r="DK439" s="339"/>
    </row>
    <row r="440" spans="5:115" ht="15">
      <c r="E440" s="606"/>
      <c r="F440" s="606"/>
      <c r="G440" s="606"/>
      <c r="H440" s="606"/>
      <c r="I440" s="606"/>
      <c r="J440" s="606"/>
      <c r="K440" s="606"/>
      <c r="L440" s="606"/>
      <c r="M440" s="606"/>
      <c r="DK440" s="339"/>
    </row>
    <row r="441" spans="5:115" ht="15">
      <c r="E441" s="606"/>
      <c r="F441" s="606"/>
      <c r="G441" s="606"/>
      <c r="H441" s="606"/>
      <c r="I441" s="606"/>
      <c r="J441" s="606"/>
      <c r="K441" s="606"/>
      <c r="L441" s="606"/>
      <c r="M441" s="606"/>
      <c r="DK441" s="339"/>
    </row>
    <row r="442" spans="5:115" ht="15">
      <c r="E442" s="606"/>
      <c r="F442" s="606"/>
      <c r="G442" s="606"/>
      <c r="H442" s="606"/>
      <c r="I442" s="606"/>
      <c r="J442" s="606"/>
      <c r="K442" s="606"/>
      <c r="L442" s="606"/>
      <c r="M442" s="606"/>
      <c r="DK442" s="339"/>
    </row>
    <row r="443" spans="5:115" ht="15">
      <c r="E443" s="606"/>
      <c r="F443" s="606"/>
      <c r="G443" s="606"/>
      <c r="H443" s="606"/>
      <c r="I443" s="606"/>
      <c r="J443" s="606"/>
      <c r="K443" s="606"/>
      <c r="L443" s="606"/>
      <c r="M443" s="606"/>
      <c r="DK443" s="339"/>
    </row>
    <row r="444" spans="5:115" ht="15">
      <c r="E444" s="606"/>
      <c r="F444" s="606"/>
      <c r="G444" s="606"/>
      <c r="H444" s="606"/>
      <c r="I444" s="606"/>
      <c r="J444" s="606"/>
      <c r="K444" s="606"/>
      <c r="L444" s="606"/>
      <c r="M444" s="606"/>
      <c r="DK444" s="339"/>
    </row>
    <row r="445" spans="5:115" ht="15">
      <c r="E445" s="606"/>
      <c r="F445" s="606"/>
      <c r="G445" s="606"/>
      <c r="H445" s="606"/>
      <c r="I445" s="606"/>
      <c r="J445" s="606"/>
      <c r="K445" s="606"/>
      <c r="L445" s="606"/>
      <c r="M445" s="606"/>
      <c r="DK445" s="339"/>
    </row>
    <row r="446" spans="5:115" ht="15">
      <c r="E446" s="606"/>
      <c r="F446" s="606"/>
      <c r="G446" s="606"/>
      <c r="H446" s="606"/>
      <c r="I446" s="606"/>
      <c r="J446" s="606"/>
      <c r="K446" s="606"/>
      <c r="L446" s="606"/>
      <c r="M446" s="606"/>
      <c r="DK446" s="339"/>
    </row>
    <row r="447" spans="5:115" ht="15">
      <c r="E447" s="606"/>
      <c r="F447" s="606"/>
      <c r="G447" s="606"/>
      <c r="H447" s="606"/>
      <c r="I447" s="606"/>
      <c r="J447" s="606"/>
      <c r="K447" s="606"/>
      <c r="L447" s="606"/>
      <c r="M447" s="606"/>
      <c r="DK447" s="339"/>
    </row>
    <row r="448" spans="5:115" ht="15">
      <c r="E448" s="606"/>
      <c r="F448" s="606"/>
      <c r="G448" s="606"/>
      <c r="H448" s="606"/>
      <c r="I448" s="606"/>
      <c r="J448" s="606"/>
      <c r="K448" s="606"/>
      <c r="L448" s="606"/>
      <c r="M448" s="606"/>
      <c r="DK448" s="339"/>
    </row>
    <row r="449" spans="5:115" ht="15">
      <c r="E449" s="606"/>
      <c r="F449" s="606"/>
      <c r="G449" s="606"/>
      <c r="H449" s="606"/>
      <c r="I449" s="606"/>
      <c r="J449" s="606"/>
      <c r="K449" s="606"/>
      <c r="L449" s="606"/>
      <c r="M449" s="606"/>
      <c r="DK449" s="339"/>
    </row>
    <row r="450" spans="5:115" ht="15">
      <c r="E450" s="606"/>
      <c r="F450" s="606"/>
      <c r="G450" s="606"/>
      <c r="H450" s="606"/>
      <c r="I450" s="606"/>
      <c r="J450" s="606"/>
      <c r="K450" s="606"/>
      <c r="L450" s="606"/>
      <c r="M450" s="606"/>
      <c r="DK450" s="339"/>
    </row>
    <row r="451" spans="5:115" ht="15">
      <c r="E451" s="606"/>
      <c r="F451" s="606"/>
      <c r="G451" s="606"/>
      <c r="H451" s="606"/>
      <c r="I451" s="606"/>
      <c r="J451" s="606"/>
      <c r="K451" s="606"/>
      <c r="L451" s="606"/>
      <c r="M451" s="606"/>
      <c r="DK451" s="339"/>
    </row>
    <row r="452" spans="5:115" ht="15">
      <c r="E452" s="606"/>
      <c r="F452" s="606"/>
      <c r="G452" s="606"/>
      <c r="H452" s="606"/>
      <c r="I452" s="606"/>
      <c r="J452" s="606"/>
      <c r="K452" s="606"/>
      <c r="L452" s="606"/>
      <c r="M452" s="606"/>
      <c r="DK452" s="339"/>
    </row>
    <row r="453" spans="5:115" ht="15">
      <c r="E453" s="606"/>
      <c r="F453" s="606"/>
      <c r="G453" s="606"/>
      <c r="H453" s="606"/>
      <c r="I453" s="606"/>
      <c r="J453" s="606"/>
      <c r="K453" s="606"/>
      <c r="L453" s="606"/>
      <c r="M453" s="606"/>
      <c r="DK453" s="339"/>
    </row>
    <row r="454" spans="5:115" ht="15">
      <c r="E454" s="606"/>
      <c r="F454" s="606"/>
      <c r="G454" s="606"/>
      <c r="H454" s="606"/>
      <c r="I454" s="606"/>
      <c r="J454" s="606"/>
      <c r="K454" s="606"/>
      <c r="L454" s="606"/>
      <c r="M454" s="606"/>
      <c r="DK454" s="339"/>
    </row>
    <row r="455" spans="5:115" ht="15">
      <c r="E455" s="606"/>
      <c r="F455" s="606"/>
      <c r="G455" s="606"/>
      <c r="H455" s="606"/>
      <c r="I455" s="606"/>
      <c r="J455" s="606"/>
      <c r="K455" s="606"/>
      <c r="L455" s="606"/>
      <c r="M455" s="606"/>
      <c r="DK455" s="339"/>
    </row>
    <row r="456" spans="5:115" ht="15">
      <c r="E456" s="606"/>
      <c r="F456" s="606"/>
      <c r="G456" s="606"/>
      <c r="H456" s="606"/>
      <c r="I456" s="606"/>
      <c r="J456" s="606"/>
      <c r="K456" s="606"/>
      <c r="L456" s="606"/>
      <c r="M456" s="606"/>
      <c r="DK456" s="339"/>
    </row>
    <row r="457" spans="5:115" ht="15">
      <c r="E457" s="606"/>
      <c r="F457" s="606"/>
      <c r="G457" s="606"/>
      <c r="H457" s="606"/>
      <c r="I457" s="606"/>
      <c r="J457" s="606"/>
      <c r="K457" s="606"/>
      <c r="L457" s="606"/>
      <c r="M457" s="606"/>
      <c r="DK457" s="339"/>
    </row>
    <row r="458" spans="5:115" ht="15">
      <c r="E458" s="606"/>
      <c r="F458" s="606"/>
      <c r="G458" s="606"/>
      <c r="H458" s="606"/>
      <c r="I458" s="606"/>
      <c r="J458" s="606"/>
      <c r="K458" s="606"/>
      <c r="L458" s="606"/>
      <c r="M458" s="606"/>
      <c r="DK458" s="339"/>
    </row>
    <row r="459" spans="5:115" ht="15">
      <c r="E459" s="606"/>
      <c r="F459" s="606"/>
      <c r="G459" s="606"/>
      <c r="H459" s="606"/>
      <c r="I459" s="606"/>
      <c r="J459" s="606"/>
      <c r="K459" s="606"/>
      <c r="L459" s="606"/>
      <c r="M459" s="606"/>
      <c r="DK459" s="339"/>
    </row>
    <row r="460" spans="5:115" ht="15">
      <c r="E460" s="606"/>
      <c r="F460" s="606"/>
      <c r="G460" s="606"/>
      <c r="H460" s="606"/>
      <c r="I460" s="606"/>
      <c r="J460" s="606"/>
      <c r="K460" s="606"/>
      <c r="L460" s="606"/>
      <c r="M460" s="606"/>
      <c r="DK460" s="339"/>
    </row>
    <row r="461" spans="5:115" ht="15">
      <c r="E461" s="606"/>
      <c r="F461" s="606"/>
      <c r="G461" s="606"/>
      <c r="H461" s="606"/>
      <c r="I461" s="606"/>
      <c r="J461" s="606"/>
      <c r="K461" s="606"/>
      <c r="L461" s="606"/>
      <c r="M461" s="606"/>
      <c r="DK461" s="339"/>
    </row>
    <row r="462" spans="5:115" ht="15">
      <c r="E462" s="606"/>
      <c r="F462" s="606"/>
      <c r="G462" s="606"/>
      <c r="H462" s="606"/>
      <c r="I462" s="606"/>
      <c r="J462" s="606"/>
      <c r="K462" s="606"/>
      <c r="L462" s="606"/>
      <c r="M462" s="606"/>
      <c r="DK462" s="339"/>
    </row>
    <row r="463" spans="5:115" ht="15">
      <c r="E463" s="606"/>
      <c r="F463" s="606"/>
      <c r="G463" s="606"/>
      <c r="H463" s="606"/>
      <c r="I463" s="606"/>
      <c r="J463" s="606"/>
      <c r="K463" s="606"/>
      <c r="L463" s="606"/>
      <c r="M463" s="606"/>
      <c r="DK463" s="339"/>
    </row>
    <row r="464" spans="5:115" ht="15">
      <c r="E464" s="606"/>
      <c r="F464" s="606"/>
      <c r="G464" s="606"/>
      <c r="H464" s="606"/>
      <c r="I464" s="606"/>
      <c r="J464" s="606"/>
      <c r="K464" s="606"/>
      <c r="L464" s="606"/>
      <c r="M464" s="606"/>
      <c r="DK464" s="339"/>
    </row>
    <row r="465" spans="5:115" ht="15">
      <c r="E465" s="606"/>
      <c r="F465" s="606"/>
      <c r="G465" s="606"/>
      <c r="H465" s="606"/>
      <c r="I465" s="606"/>
      <c r="J465" s="606"/>
      <c r="K465" s="606"/>
      <c r="L465" s="606"/>
      <c r="M465" s="606"/>
      <c r="DK465" s="339"/>
    </row>
    <row r="466" spans="5:115" ht="15">
      <c r="E466" s="606"/>
      <c r="F466" s="606"/>
      <c r="G466" s="606"/>
      <c r="H466" s="606"/>
      <c r="I466" s="606"/>
      <c r="J466" s="606"/>
      <c r="K466" s="606"/>
      <c r="L466" s="606"/>
      <c r="M466" s="606"/>
      <c r="DK466" s="339"/>
    </row>
    <row r="467" spans="5:115" ht="15">
      <c r="E467" s="606"/>
      <c r="F467" s="606"/>
      <c r="G467" s="606"/>
      <c r="H467" s="606"/>
      <c r="I467" s="606"/>
      <c r="J467" s="606"/>
      <c r="K467" s="606"/>
      <c r="L467" s="606"/>
      <c r="M467" s="606"/>
      <c r="DK467" s="339"/>
    </row>
    <row r="468" spans="5:115" ht="15">
      <c r="E468" s="606"/>
      <c r="F468" s="606"/>
      <c r="G468" s="606"/>
      <c r="H468" s="606"/>
      <c r="I468" s="606"/>
      <c r="J468" s="606"/>
      <c r="K468" s="606"/>
      <c r="L468" s="606"/>
      <c r="M468" s="606"/>
      <c r="DK468" s="339"/>
    </row>
    <row r="469" spans="5:115" ht="15">
      <c r="E469" s="606"/>
      <c r="F469" s="606"/>
      <c r="G469" s="606"/>
      <c r="H469" s="606"/>
      <c r="I469" s="606"/>
      <c r="J469" s="606"/>
      <c r="K469" s="606"/>
      <c r="L469" s="606"/>
      <c r="M469" s="606"/>
      <c r="DK469" s="339"/>
    </row>
    <row r="470" spans="5:115" ht="15">
      <c r="E470" s="606"/>
      <c r="F470" s="606"/>
      <c r="G470" s="606"/>
      <c r="H470" s="606"/>
      <c r="I470" s="606"/>
      <c r="J470" s="606"/>
      <c r="K470" s="606"/>
      <c r="L470" s="606"/>
      <c r="M470" s="606"/>
      <c r="DK470" s="339"/>
    </row>
    <row r="471" spans="5:115" ht="15">
      <c r="E471" s="606"/>
      <c r="F471" s="606"/>
      <c r="G471" s="606"/>
      <c r="H471" s="606"/>
      <c r="I471" s="606"/>
      <c r="J471" s="606"/>
      <c r="K471" s="606"/>
      <c r="L471" s="606"/>
      <c r="M471" s="606"/>
      <c r="DK471" s="339"/>
    </row>
    <row r="472" spans="5:115" ht="15">
      <c r="E472" s="606"/>
      <c r="F472" s="606"/>
      <c r="G472" s="606"/>
      <c r="H472" s="606"/>
      <c r="I472" s="606"/>
      <c r="J472" s="606"/>
      <c r="K472" s="606"/>
      <c r="L472" s="606"/>
      <c r="M472" s="606"/>
      <c r="DK472" s="339"/>
    </row>
    <row r="473" spans="5:115" ht="15">
      <c r="E473" s="606"/>
      <c r="F473" s="606"/>
      <c r="G473" s="606"/>
      <c r="H473" s="606"/>
      <c r="I473" s="606"/>
      <c r="J473" s="606"/>
      <c r="K473" s="606"/>
      <c r="L473" s="606"/>
      <c r="M473" s="606"/>
      <c r="DK473" s="339"/>
    </row>
    <row r="474" spans="5:115" ht="15">
      <c r="E474" s="606"/>
      <c r="F474" s="606"/>
      <c r="G474" s="606"/>
      <c r="H474" s="606"/>
      <c r="I474" s="606"/>
      <c r="J474" s="606"/>
      <c r="K474" s="606"/>
      <c r="L474" s="606"/>
      <c r="M474" s="606"/>
      <c r="DK474" s="339"/>
    </row>
    <row r="475" spans="5:115" ht="15">
      <c r="E475" s="606"/>
      <c r="F475" s="606"/>
      <c r="G475" s="606"/>
      <c r="H475" s="606"/>
      <c r="I475" s="606"/>
      <c r="J475" s="606"/>
      <c r="K475" s="606"/>
      <c r="L475" s="606"/>
      <c r="M475" s="606"/>
      <c r="DK475" s="339"/>
    </row>
    <row r="476" spans="5:115" ht="15">
      <c r="E476" s="606"/>
      <c r="F476" s="606"/>
      <c r="G476" s="606"/>
      <c r="H476" s="606"/>
      <c r="I476" s="606"/>
      <c r="J476" s="606"/>
      <c r="K476" s="606"/>
      <c r="L476" s="606"/>
      <c r="M476" s="606"/>
      <c r="DK476" s="339"/>
    </row>
    <row r="477" spans="5:115" ht="15">
      <c r="E477" s="606"/>
      <c r="F477" s="606"/>
      <c r="G477" s="606"/>
      <c r="H477" s="606"/>
      <c r="I477" s="606"/>
      <c r="J477" s="606"/>
      <c r="K477" s="606"/>
      <c r="L477" s="606"/>
      <c r="M477" s="606"/>
      <c r="DK477" s="339"/>
    </row>
    <row r="478" spans="5:115" ht="15">
      <c r="E478" s="606"/>
      <c r="F478" s="606"/>
      <c r="G478" s="606"/>
      <c r="H478" s="606"/>
      <c r="I478" s="606"/>
      <c r="J478" s="606"/>
      <c r="K478" s="606"/>
      <c r="L478" s="606"/>
      <c r="M478" s="606"/>
      <c r="DK478" s="339"/>
    </row>
    <row r="479" spans="5:115" ht="15">
      <c r="E479" s="606"/>
      <c r="F479" s="606"/>
      <c r="G479" s="606"/>
      <c r="H479" s="606"/>
      <c r="I479" s="606"/>
      <c r="J479" s="606"/>
      <c r="K479" s="606"/>
      <c r="L479" s="606"/>
      <c r="M479" s="606"/>
      <c r="DK479" s="339"/>
    </row>
    <row r="480" spans="5:115" ht="15">
      <c r="E480" s="606"/>
      <c r="F480" s="606"/>
      <c r="G480" s="606"/>
      <c r="H480" s="606"/>
      <c r="I480" s="606"/>
      <c r="J480" s="606"/>
      <c r="K480" s="606"/>
      <c r="L480" s="606"/>
      <c r="M480" s="606"/>
      <c r="DK480" s="339"/>
    </row>
    <row r="481" spans="5:115" ht="15">
      <c r="E481" s="606"/>
      <c r="F481" s="606"/>
      <c r="G481" s="606"/>
      <c r="H481" s="606"/>
      <c r="I481" s="606"/>
      <c r="J481" s="606"/>
      <c r="K481" s="606"/>
      <c r="L481" s="606"/>
      <c r="M481" s="606"/>
      <c r="DK481" s="339"/>
    </row>
    <row r="482" spans="5:115" ht="15">
      <c r="E482" s="606"/>
      <c r="F482" s="606"/>
      <c r="G482" s="606"/>
      <c r="H482" s="606"/>
      <c r="I482" s="606"/>
      <c r="J482" s="606"/>
      <c r="K482" s="606"/>
      <c r="L482" s="606"/>
      <c r="M482" s="606"/>
      <c r="DK482" s="339"/>
    </row>
    <row r="483" spans="5:115" ht="15">
      <c r="E483" s="606"/>
      <c r="F483" s="606"/>
      <c r="G483" s="606"/>
      <c r="H483" s="606"/>
      <c r="I483" s="606"/>
      <c r="J483" s="606"/>
      <c r="K483" s="606"/>
      <c r="L483" s="606"/>
      <c r="M483" s="606"/>
      <c r="DK483" s="339"/>
    </row>
    <row r="484" spans="5:115" ht="15">
      <c r="E484" s="606"/>
      <c r="F484" s="606"/>
      <c r="G484" s="606"/>
      <c r="H484" s="606"/>
      <c r="I484" s="606"/>
      <c r="J484" s="606"/>
      <c r="K484" s="606"/>
      <c r="L484" s="606"/>
      <c r="M484" s="606"/>
      <c r="DK484" s="339"/>
    </row>
    <row r="485" spans="5:115" ht="15">
      <c r="E485" s="606"/>
      <c r="F485" s="606"/>
      <c r="G485" s="606"/>
      <c r="H485" s="606"/>
      <c r="I485" s="606"/>
      <c r="J485" s="606"/>
      <c r="K485" s="606"/>
      <c r="L485" s="606"/>
      <c r="M485" s="606"/>
      <c r="DK485" s="339"/>
    </row>
    <row r="486" spans="5:115" ht="15">
      <c r="E486" s="606"/>
      <c r="F486" s="606"/>
      <c r="G486" s="606"/>
      <c r="H486" s="606"/>
      <c r="I486" s="606"/>
      <c r="J486" s="606"/>
      <c r="K486" s="606"/>
      <c r="L486" s="606"/>
      <c r="M486" s="606"/>
      <c r="DK486" s="339"/>
    </row>
    <row r="487" spans="5:115" ht="15">
      <c r="E487" s="606"/>
      <c r="F487" s="606"/>
      <c r="G487" s="606"/>
      <c r="H487" s="606"/>
      <c r="I487" s="606"/>
      <c r="J487" s="606"/>
      <c r="K487" s="606"/>
      <c r="L487" s="606"/>
      <c r="M487" s="606"/>
      <c r="DK487" s="339"/>
    </row>
    <row r="488" spans="5:115" ht="15">
      <c r="E488" s="606"/>
      <c r="F488" s="606"/>
      <c r="G488" s="606"/>
      <c r="H488" s="606"/>
      <c r="I488" s="606"/>
      <c r="J488" s="606"/>
      <c r="K488" s="606"/>
      <c r="L488" s="606"/>
      <c r="M488" s="606"/>
      <c r="DK488" s="339"/>
    </row>
    <row r="489" spans="5:115" ht="15">
      <c r="E489" s="606"/>
      <c r="F489" s="606"/>
      <c r="G489" s="606"/>
      <c r="H489" s="606"/>
      <c r="I489" s="606"/>
      <c r="J489" s="606"/>
      <c r="K489" s="606"/>
      <c r="L489" s="606"/>
      <c r="M489" s="606"/>
      <c r="DK489" s="339"/>
    </row>
    <row r="490" spans="5:115" ht="15">
      <c r="E490" s="606"/>
      <c r="F490" s="606"/>
      <c r="G490" s="606"/>
      <c r="H490" s="606"/>
      <c r="I490" s="606"/>
      <c r="J490" s="606"/>
      <c r="K490" s="606"/>
      <c r="L490" s="606"/>
      <c r="M490" s="606"/>
      <c r="DK490" s="339"/>
    </row>
    <row r="491" spans="5:115" ht="15">
      <c r="E491" s="606"/>
      <c r="F491" s="606"/>
      <c r="G491" s="606"/>
      <c r="H491" s="606"/>
      <c r="I491" s="606"/>
      <c r="J491" s="606"/>
      <c r="K491" s="606"/>
      <c r="L491" s="606"/>
      <c r="M491" s="606"/>
      <c r="DK491" s="339"/>
    </row>
    <row r="492" spans="5:115" ht="15">
      <c r="E492" s="606"/>
      <c r="F492" s="606"/>
      <c r="G492" s="606"/>
      <c r="H492" s="606"/>
      <c r="I492" s="606"/>
      <c r="J492" s="606"/>
      <c r="K492" s="606"/>
      <c r="L492" s="606"/>
      <c r="M492" s="606"/>
      <c r="DK492" s="339"/>
    </row>
    <row r="493" spans="5:115" ht="15">
      <c r="E493" s="606"/>
      <c r="F493" s="606"/>
      <c r="G493" s="606"/>
      <c r="H493" s="606"/>
      <c r="I493" s="606"/>
      <c r="J493" s="606"/>
      <c r="K493" s="606"/>
      <c r="L493" s="606"/>
      <c r="M493" s="606"/>
      <c r="DK493" s="339"/>
    </row>
    <row r="494" spans="5:115" ht="15">
      <c r="E494" s="606"/>
      <c r="F494" s="606"/>
      <c r="G494" s="606"/>
      <c r="H494" s="606"/>
      <c r="I494" s="606"/>
      <c r="J494" s="606"/>
      <c r="K494" s="606"/>
      <c r="L494" s="606"/>
      <c r="M494" s="606"/>
      <c r="DK494" s="339"/>
    </row>
    <row r="495" spans="5:115" ht="15">
      <c r="E495" s="606"/>
      <c r="F495" s="606"/>
      <c r="G495" s="606"/>
      <c r="H495" s="606"/>
      <c r="I495" s="606"/>
      <c r="J495" s="606"/>
      <c r="K495" s="606"/>
      <c r="L495" s="606"/>
      <c r="M495" s="606"/>
      <c r="DK495" s="339"/>
    </row>
    <row r="496" spans="5:115" ht="15">
      <c r="E496" s="606"/>
      <c r="F496" s="606"/>
      <c r="G496" s="606"/>
      <c r="H496" s="606"/>
      <c r="I496" s="606"/>
      <c r="J496" s="606"/>
      <c r="K496" s="606"/>
      <c r="L496" s="606"/>
      <c r="M496" s="606"/>
      <c r="DK496" s="339"/>
    </row>
    <row r="497" spans="5:115" ht="15">
      <c r="E497" s="606"/>
      <c r="F497" s="606"/>
      <c r="G497" s="606"/>
      <c r="H497" s="606"/>
      <c r="I497" s="606"/>
      <c r="J497" s="606"/>
      <c r="K497" s="606"/>
      <c r="L497" s="606"/>
      <c r="M497" s="606"/>
      <c r="DK497" s="339"/>
    </row>
    <row r="498" spans="5:115" ht="15">
      <c r="E498" s="606"/>
      <c r="F498" s="606"/>
      <c r="G498" s="606"/>
      <c r="H498" s="606"/>
      <c r="I498" s="606"/>
      <c r="J498" s="606"/>
      <c r="K498" s="606"/>
      <c r="L498" s="606"/>
      <c r="M498" s="606"/>
      <c r="DK498" s="339"/>
    </row>
    <row r="499" spans="5:115" ht="15">
      <c r="E499" s="606"/>
      <c r="F499" s="606"/>
      <c r="G499" s="606"/>
      <c r="H499" s="606"/>
      <c r="I499" s="606"/>
      <c r="J499" s="606"/>
      <c r="K499" s="606"/>
      <c r="L499" s="606"/>
      <c r="M499" s="606"/>
      <c r="DK499" s="339"/>
    </row>
    <row r="500" spans="5:115" ht="15">
      <c r="E500" s="606"/>
      <c r="F500" s="606"/>
      <c r="G500" s="606"/>
      <c r="H500" s="606"/>
      <c r="I500" s="606"/>
      <c r="J500" s="606"/>
      <c r="K500" s="606"/>
      <c r="L500" s="606"/>
      <c r="M500" s="606"/>
      <c r="DK500" s="339"/>
    </row>
    <row r="501" spans="5:115" ht="15">
      <c r="E501" s="606"/>
      <c r="F501" s="606"/>
      <c r="G501" s="606"/>
      <c r="H501" s="606"/>
      <c r="I501" s="606"/>
      <c r="J501" s="606"/>
      <c r="K501" s="606"/>
      <c r="L501" s="606"/>
      <c r="M501" s="606"/>
      <c r="DK501" s="339"/>
    </row>
    <row r="502" spans="5:115" ht="15">
      <c r="E502" s="606"/>
      <c r="F502" s="606"/>
      <c r="G502" s="606"/>
      <c r="H502" s="606"/>
      <c r="I502" s="606"/>
      <c r="J502" s="606"/>
      <c r="K502" s="606"/>
      <c r="L502" s="606"/>
      <c r="M502" s="606"/>
      <c r="DK502" s="339"/>
    </row>
    <row r="503" spans="5:115" ht="15">
      <c r="E503" s="606"/>
      <c r="F503" s="606"/>
      <c r="G503" s="606"/>
      <c r="H503" s="606"/>
      <c r="I503" s="606"/>
      <c r="J503" s="606"/>
      <c r="K503" s="606"/>
      <c r="L503" s="606"/>
      <c r="M503" s="606"/>
      <c r="DK503" s="339"/>
    </row>
    <row r="504" spans="5:115" ht="15">
      <c r="E504" s="606"/>
      <c r="F504" s="606"/>
      <c r="G504" s="606"/>
      <c r="H504" s="606"/>
      <c r="I504" s="606"/>
      <c r="J504" s="606"/>
      <c r="K504" s="606"/>
      <c r="L504" s="606"/>
      <c r="M504" s="606"/>
      <c r="DK504" s="339"/>
    </row>
    <row r="505" spans="5:115" ht="15">
      <c r="E505" s="606"/>
      <c r="F505" s="606"/>
      <c r="G505" s="606"/>
      <c r="H505" s="606"/>
      <c r="I505" s="606"/>
      <c r="J505" s="606"/>
      <c r="K505" s="606"/>
      <c r="L505" s="606"/>
      <c r="M505" s="606"/>
      <c r="DK505" s="339"/>
    </row>
    <row r="506" spans="5:115" ht="15">
      <c r="E506" s="606"/>
      <c r="F506" s="606"/>
      <c r="G506" s="606"/>
      <c r="H506" s="606"/>
      <c r="I506" s="606"/>
      <c r="J506" s="606"/>
      <c r="K506" s="606"/>
      <c r="L506" s="606"/>
      <c r="M506" s="606"/>
      <c r="DK506" s="339"/>
    </row>
    <row r="507" spans="5:115" ht="15">
      <c r="E507" s="606"/>
      <c r="F507" s="606"/>
      <c r="G507" s="606"/>
      <c r="H507" s="606"/>
      <c r="I507" s="606"/>
      <c r="J507" s="606"/>
      <c r="K507" s="606"/>
      <c r="L507" s="606"/>
      <c r="M507" s="606"/>
      <c r="DK507" s="339"/>
    </row>
    <row r="508" spans="5:115" ht="15">
      <c r="E508" s="606"/>
      <c r="F508" s="606"/>
      <c r="G508" s="606"/>
      <c r="H508" s="606"/>
      <c r="I508" s="606"/>
      <c r="J508" s="606"/>
      <c r="K508" s="606"/>
      <c r="L508" s="606"/>
      <c r="M508" s="606"/>
      <c r="DK508" s="339"/>
    </row>
    <row r="509" spans="5:115" ht="15">
      <c r="E509" s="606"/>
      <c r="F509" s="606"/>
      <c r="G509" s="606"/>
      <c r="H509" s="606"/>
      <c r="I509" s="606"/>
      <c r="J509" s="606"/>
      <c r="K509" s="606"/>
      <c r="L509" s="606"/>
      <c r="M509" s="606"/>
      <c r="DK509" s="339"/>
    </row>
    <row r="510" spans="5:115" ht="15">
      <c r="E510" s="606"/>
      <c r="F510" s="606"/>
      <c r="G510" s="606"/>
      <c r="H510" s="606"/>
      <c r="I510" s="606"/>
      <c r="J510" s="606"/>
      <c r="K510" s="606"/>
      <c r="L510" s="606"/>
      <c r="M510" s="606"/>
      <c r="DK510" s="339"/>
    </row>
    <row r="511" spans="5:115" ht="15">
      <c r="E511" s="606"/>
      <c r="F511" s="606"/>
      <c r="G511" s="606"/>
      <c r="H511" s="606"/>
      <c r="I511" s="606"/>
      <c r="J511" s="606"/>
      <c r="K511" s="606"/>
      <c r="L511" s="606"/>
      <c r="M511" s="606"/>
      <c r="DK511" s="339"/>
    </row>
    <row r="512" spans="5:115" ht="15">
      <c r="E512" s="606"/>
      <c r="F512" s="606"/>
      <c r="G512" s="606"/>
      <c r="H512" s="606"/>
      <c r="I512" s="606"/>
      <c r="J512" s="606"/>
      <c r="K512" s="606"/>
      <c r="L512" s="606"/>
      <c r="M512" s="606"/>
      <c r="DK512" s="339"/>
    </row>
    <row r="513" spans="5:115" ht="15">
      <c r="E513" s="606"/>
      <c r="F513" s="606"/>
      <c r="G513" s="606"/>
      <c r="H513" s="606"/>
      <c r="I513" s="606"/>
      <c r="J513" s="606"/>
      <c r="K513" s="606"/>
      <c r="L513" s="606"/>
      <c r="M513" s="606"/>
      <c r="DK513" s="339"/>
    </row>
    <row r="514" spans="5:115" ht="15">
      <c r="E514" s="606"/>
      <c r="F514" s="606"/>
      <c r="G514" s="606"/>
      <c r="H514" s="606"/>
      <c r="I514" s="606"/>
      <c r="J514" s="606"/>
      <c r="K514" s="606"/>
      <c r="L514" s="606"/>
      <c r="M514" s="606"/>
      <c r="DK514" s="339"/>
    </row>
    <row r="515" spans="5:115" ht="15">
      <c r="E515" s="606"/>
      <c r="F515" s="606"/>
      <c r="G515" s="606"/>
      <c r="H515" s="606"/>
      <c r="I515" s="606"/>
      <c r="J515" s="606"/>
      <c r="K515" s="606"/>
      <c r="L515" s="606"/>
      <c r="M515" s="606"/>
      <c r="DK515" s="339"/>
    </row>
    <row r="516" spans="5:115" ht="15">
      <c r="E516" s="606"/>
      <c r="F516" s="606"/>
      <c r="G516" s="606"/>
      <c r="H516" s="606"/>
      <c r="I516" s="606"/>
      <c r="J516" s="606"/>
      <c r="K516" s="606"/>
      <c r="L516" s="606"/>
      <c r="M516" s="606"/>
      <c r="DK516" s="339"/>
    </row>
    <row r="517" spans="5:115" ht="15">
      <c r="E517" s="606"/>
      <c r="F517" s="606"/>
      <c r="G517" s="606"/>
      <c r="H517" s="606"/>
      <c r="I517" s="606"/>
      <c r="J517" s="606"/>
      <c r="K517" s="606"/>
      <c r="L517" s="606"/>
      <c r="M517" s="606"/>
      <c r="DK517" s="339"/>
    </row>
    <row r="518" spans="5:115" ht="15">
      <c r="E518" s="606"/>
      <c r="F518" s="606"/>
      <c r="G518" s="606"/>
      <c r="H518" s="606"/>
      <c r="I518" s="606"/>
      <c r="J518" s="606"/>
      <c r="K518" s="606"/>
      <c r="L518" s="606"/>
      <c r="M518" s="606"/>
      <c r="DK518" s="339"/>
    </row>
    <row r="519" spans="5:115" ht="15">
      <c r="E519" s="606"/>
      <c r="F519" s="606"/>
      <c r="G519" s="606"/>
      <c r="H519" s="606"/>
      <c r="I519" s="606"/>
      <c r="J519" s="606"/>
      <c r="K519" s="606"/>
      <c r="L519" s="606"/>
      <c r="M519" s="606"/>
      <c r="DK519" s="339"/>
    </row>
    <row r="520" spans="5:115" ht="15">
      <c r="E520" s="606"/>
      <c r="F520" s="606"/>
      <c r="G520" s="606"/>
      <c r="H520" s="606"/>
      <c r="I520" s="606"/>
      <c r="J520" s="606"/>
      <c r="K520" s="606"/>
      <c r="L520" s="606"/>
      <c r="M520" s="606"/>
      <c r="DK520" s="339"/>
    </row>
    <row r="521" spans="5:115" ht="15">
      <c r="E521" s="606"/>
      <c r="F521" s="606"/>
      <c r="G521" s="606"/>
      <c r="H521" s="606"/>
      <c r="I521" s="606"/>
      <c r="J521" s="606"/>
      <c r="K521" s="606"/>
      <c r="L521" s="606"/>
      <c r="M521" s="606"/>
      <c r="DK521" s="339"/>
    </row>
    <row r="522" spans="5:115" ht="15">
      <c r="E522" s="606"/>
      <c r="F522" s="606"/>
      <c r="G522" s="606"/>
      <c r="H522" s="606"/>
      <c r="I522" s="606"/>
      <c r="J522" s="606"/>
      <c r="K522" s="606"/>
      <c r="L522" s="606"/>
      <c r="M522" s="606"/>
      <c r="DK522" s="339"/>
    </row>
    <row r="523" spans="5:115" ht="15">
      <c r="E523" s="606"/>
      <c r="F523" s="606"/>
      <c r="G523" s="606"/>
      <c r="H523" s="606"/>
      <c r="I523" s="606"/>
      <c r="J523" s="606"/>
      <c r="K523" s="606"/>
      <c r="L523" s="606"/>
      <c r="M523" s="606"/>
      <c r="DK523" s="339"/>
    </row>
    <row r="524" spans="5:115" ht="15">
      <c r="E524" s="606"/>
      <c r="F524" s="606"/>
      <c r="G524" s="606"/>
      <c r="H524" s="606"/>
      <c r="I524" s="606"/>
      <c r="J524" s="606"/>
      <c r="K524" s="606"/>
      <c r="L524" s="606"/>
      <c r="M524" s="606"/>
      <c r="DK524" s="339"/>
    </row>
    <row r="525" spans="5:115" ht="15">
      <c r="E525" s="606"/>
      <c r="F525" s="606"/>
      <c r="G525" s="606"/>
      <c r="H525" s="606"/>
      <c r="I525" s="606"/>
      <c r="J525" s="606"/>
      <c r="K525" s="606"/>
      <c r="L525" s="606"/>
      <c r="M525" s="606"/>
      <c r="DK525" s="339"/>
    </row>
    <row r="526" spans="5:115" ht="15">
      <c r="E526" s="606"/>
      <c r="F526" s="606"/>
      <c r="G526" s="606"/>
      <c r="H526" s="606"/>
      <c r="I526" s="606"/>
      <c r="J526" s="606"/>
      <c r="K526" s="606"/>
      <c r="L526" s="606"/>
      <c r="M526" s="606"/>
      <c r="DK526" s="339"/>
    </row>
    <row r="527" spans="5:115" ht="15">
      <c r="E527" s="606"/>
      <c r="F527" s="606"/>
      <c r="G527" s="606"/>
      <c r="H527" s="606"/>
      <c r="I527" s="606"/>
      <c r="J527" s="606"/>
      <c r="K527" s="606"/>
      <c r="L527" s="606"/>
      <c r="M527" s="606"/>
      <c r="DK527" s="339"/>
    </row>
    <row r="528" spans="5:115" ht="15">
      <c r="E528" s="606"/>
      <c r="F528" s="606"/>
      <c r="G528" s="606"/>
      <c r="H528" s="606"/>
      <c r="I528" s="606"/>
      <c r="J528" s="606"/>
      <c r="K528" s="606"/>
      <c r="L528" s="606"/>
      <c r="M528" s="606"/>
      <c r="DK528" s="339"/>
    </row>
    <row r="529" spans="5:115" ht="15">
      <c r="E529" s="606"/>
      <c r="F529" s="606"/>
      <c r="G529" s="606"/>
      <c r="H529" s="606"/>
      <c r="I529" s="606"/>
      <c r="J529" s="606"/>
      <c r="K529" s="606"/>
      <c r="L529" s="606"/>
      <c r="M529" s="606"/>
      <c r="DK529" s="339"/>
    </row>
    <row r="530" spans="5:115" ht="15">
      <c r="E530" s="606"/>
      <c r="F530" s="606"/>
      <c r="G530" s="606"/>
      <c r="H530" s="606"/>
      <c r="I530" s="606"/>
      <c r="J530" s="606"/>
      <c r="K530" s="606"/>
      <c r="L530" s="606"/>
      <c r="M530" s="606"/>
      <c r="DK530" s="339"/>
    </row>
    <row r="531" spans="5:115" ht="15">
      <c r="E531" s="606"/>
      <c r="F531" s="606"/>
      <c r="G531" s="606"/>
      <c r="H531" s="606"/>
      <c r="I531" s="606"/>
      <c r="J531" s="606"/>
      <c r="K531" s="606"/>
      <c r="L531" s="606"/>
      <c r="M531" s="606"/>
      <c r="DK531" s="339"/>
    </row>
    <row r="532" spans="5:115" ht="15">
      <c r="E532" s="606"/>
      <c r="F532" s="606"/>
      <c r="G532" s="606"/>
      <c r="H532" s="606"/>
      <c r="I532" s="606"/>
      <c r="J532" s="606"/>
      <c r="K532" s="606"/>
      <c r="L532" s="606"/>
      <c r="M532" s="606"/>
      <c r="DK532" s="339"/>
    </row>
    <row r="533" spans="5:115" ht="15">
      <c r="E533" s="606"/>
      <c r="F533" s="606"/>
      <c r="G533" s="606"/>
      <c r="H533" s="606"/>
      <c r="I533" s="606"/>
      <c r="J533" s="606"/>
      <c r="K533" s="606"/>
      <c r="L533" s="606"/>
      <c r="M533" s="606"/>
      <c r="DK533" s="339"/>
    </row>
    <row r="534" spans="5:115" ht="15">
      <c r="E534" s="606"/>
      <c r="F534" s="606"/>
      <c r="G534" s="606"/>
      <c r="H534" s="606"/>
      <c r="I534" s="606"/>
      <c r="J534" s="606"/>
      <c r="K534" s="606"/>
      <c r="L534" s="606"/>
      <c r="M534" s="606"/>
      <c r="DK534" s="339"/>
    </row>
    <row r="535" spans="5:115" ht="15">
      <c r="E535" s="606"/>
      <c r="F535" s="606"/>
      <c r="G535" s="606"/>
      <c r="H535" s="606"/>
      <c r="I535" s="606"/>
      <c r="J535" s="606"/>
      <c r="K535" s="606"/>
      <c r="L535" s="606"/>
      <c r="M535" s="606"/>
      <c r="DK535" s="339"/>
    </row>
    <row r="536" spans="5:115" ht="15">
      <c r="E536" s="606"/>
      <c r="F536" s="606"/>
      <c r="G536" s="606"/>
      <c r="H536" s="606"/>
      <c r="I536" s="606"/>
      <c r="J536" s="606"/>
      <c r="K536" s="606"/>
      <c r="L536" s="606"/>
      <c r="M536" s="606"/>
      <c r="DK536" s="339"/>
    </row>
    <row r="537" spans="5:115" ht="15">
      <c r="E537" s="606"/>
      <c r="F537" s="606"/>
      <c r="G537" s="606"/>
      <c r="H537" s="606"/>
      <c r="I537" s="606"/>
      <c r="J537" s="606"/>
      <c r="K537" s="606"/>
      <c r="L537" s="606"/>
      <c r="M537" s="606"/>
      <c r="DK537" s="339"/>
    </row>
    <row r="538" spans="5:115" ht="15">
      <c r="E538" s="606"/>
      <c r="F538" s="606"/>
      <c r="G538" s="606"/>
      <c r="H538" s="606"/>
      <c r="I538" s="606"/>
      <c r="J538" s="606"/>
      <c r="K538" s="606"/>
      <c r="L538" s="606"/>
      <c r="M538" s="606"/>
      <c r="DK538" s="339"/>
    </row>
    <row r="539" spans="5:115" ht="15">
      <c r="E539" s="606"/>
      <c r="F539" s="606"/>
      <c r="G539" s="606"/>
      <c r="H539" s="606"/>
      <c r="I539" s="606"/>
      <c r="J539" s="606"/>
      <c r="K539" s="606"/>
      <c r="L539" s="606"/>
      <c r="M539" s="606"/>
      <c r="DK539" s="339"/>
    </row>
    <row r="540" spans="5:115" ht="15">
      <c r="E540" s="606"/>
      <c r="F540" s="606"/>
      <c r="G540" s="606"/>
      <c r="H540" s="606"/>
      <c r="I540" s="606"/>
      <c r="J540" s="606"/>
      <c r="K540" s="606"/>
      <c r="L540" s="606"/>
      <c r="M540" s="606"/>
      <c r="DK540" s="339"/>
    </row>
    <row r="541" spans="5:115" ht="15">
      <c r="E541" s="606"/>
      <c r="F541" s="606"/>
      <c r="G541" s="606"/>
      <c r="H541" s="606"/>
      <c r="I541" s="606"/>
      <c r="J541" s="606"/>
      <c r="K541" s="606"/>
      <c r="L541" s="606"/>
      <c r="M541" s="606"/>
      <c r="DK541" s="339"/>
    </row>
    <row r="542" spans="5:115" ht="15">
      <c r="E542" s="606"/>
      <c r="F542" s="606"/>
      <c r="G542" s="606"/>
      <c r="H542" s="606"/>
      <c r="I542" s="606"/>
      <c r="J542" s="606"/>
      <c r="K542" s="606"/>
      <c r="L542" s="606"/>
      <c r="M542" s="606"/>
      <c r="DK542" s="339"/>
    </row>
    <row r="543" spans="5:115" ht="15">
      <c r="E543" s="606"/>
      <c r="F543" s="606"/>
      <c r="G543" s="606"/>
      <c r="H543" s="606"/>
      <c r="I543" s="606"/>
      <c r="J543" s="606"/>
      <c r="K543" s="606"/>
      <c r="L543" s="606"/>
      <c r="M543" s="606"/>
      <c r="DK543" s="339"/>
    </row>
    <row r="544" spans="5:115" ht="15">
      <c r="E544" s="606"/>
      <c r="F544" s="606"/>
      <c r="G544" s="606"/>
      <c r="H544" s="606"/>
      <c r="I544" s="606"/>
      <c r="J544" s="606"/>
      <c r="K544" s="606"/>
      <c r="L544" s="606"/>
      <c r="M544" s="606"/>
      <c r="DK544" s="339"/>
    </row>
    <row r="545" spans="5:115" ht="15">
      <c r="E545" s="606"/>
      <c r="F545" s="606"/>
      <c r="G545" s="606"/>
      <c r="H545" s="606"/>
      <c r="I545" s="606"/>
      <c r="J545" s="606"/>
      <c r="K545" s="606"/>
      <c r="L545" s="606"/>
      <c r="M545" s="606"/>
      <c r="DK545" s="339"/>
    </row>
    <row r="546" spans="5:115" ht="15">
      <c r="E546" s="606"/>
      <c r="F546" s="606"/>
      <c r="G546" s="606"/>
      <c r="H546" s="606"/>
      <c r="I546" s="606"/>
      <c r="J546" s="606"/>
      <c r="K546" s="606"/>
      <c r="L546" s="606"/>
      <c r="M546" s="606"/>
      <c r="DK546" s="339"/>
    </row>
    <row r="547" spans="5:115" ht="15">
      <c r="E547" s="606"/>
      <c r="F547" s="606"/>
      <c r="G547" s="606"/>
      <c r="H547" s="606"/>
      <c r="I547" s="606"/>
      <c r="J547" s="606"/>
      <c r="K547" s="606"/>
      <c r="L547" s="606"/>
      <c r="M547" s="606"/>
      <c r="DK547" s="339"/>
    </row>
    <row r="548" spans="5:115" ht="15">
      <c r="E548" s="606"/>
      <c r="F548" s="606"/>
      <c r="G548" s="606"/>
      <c r="H548" s="606"/>
      <c r="I548" s="606"/>
      <c r="J548" s="606"/>
      <c r="K548" s="606"/>
      <c r="L548" s="606"/>
      <c r="M548" s="606"/>
      <c r="DK548" s="339"/>
    </row>
    <row r="549" spans="5:115" ht="15">
      <c r="E549" s="606"/>
      <c r="F549" s="606"/>
      <c r="G549" s="606"/>
      <c r="H549" s="606"/>
      <c r="I549" s="606"/>
      <c r="J549" s="606"/>
      <c r="K549" s="606"/>
      <c r="L549" s="606"/>
      <c r="M549" s="606"/>
      <c r="DK549" s="339"/>
    </row>
    <row r="550" spans="5:115" ht="15">
      <c r="E550" s="606"/>
      <c r="F550" s="606"/>
      <c r="G550" s="606"/>
      <c r="H550" s="606"/>
      <c r="I550" s="606"/>
      <c r="J550" s="606"/>
      <c r="K550" s="606"/>
      <c r="L550" s="606"/>
      <c r="M550" s="606"/>
      <c r="DK550" s="339"/>
    </row>
    <row r="551" spans="5:115" ht="15">
      <c r="E551" s="606"/>
      <c r="F551" s="606"/>
      <c r="G551" s="606"/>
      <c r="H551" s="606"/>
      <c r="I551" s="606"/>
      <c r="J551" s="606"/>
      <c r="K551" s="606"/>
      <c r="L551" s="606"/>
      <c r="M551" s="606"/>
      <c r="DK551" s="339"/>
    </row>
    <row r="552" spans="5:115" ht="15">
      <c r="E552" s="606"/>
      <c r="F552" s="606"/>
      <c r="G552" s="606"/>
      <c r="H552" s="606"/>
      <c r="I552" s="606"/>
      <c r="J552" s="606"/>
      <c r="K552" s="606"/>
      <c r="L552" s="606"/>
      <c r="M552" s="606"/>
      <c r="DK552" s="339"/>
    </row>
    <row r="553" spans="5:115" ht="15">
      <c r="E553" s="606"/>
      <c r="F553" s="606"/>
      <c r="G553" s="606"/>
      <c r="H553" s="606"/>
      <c r="I553" s="606"/>
      <c r="J553" s="606"/>
      <c r="K553" s="606"/>
      <c r="L553" s="606"/>
      <c r="M553" s="606"/>
      <c r="DK553" s="339"/>
    </row>
    <row r="554" spans="5:115" ht="15">
      <c r="E554" s="606"/>
      <c r="F554" s="606"/>
      <c r="G554" s="606"/>
      <c r="H554" s="606"/>
      <c r="I554" s="606"/>
      <c r="J554" s="606"/>
      <c r="K554" s="606"/>
      <c r="L554" s="606"/>
      <c r="M554" s="606"/>
      <c r="DK554" s="339"/>
    </row>
    <row r="555" spans="5:115" ht="15">
      <c r="E555" s="606"/>
      <c r="F555" s="606"/>
      <c r="G555" s="606"/>
      <c r="H555" s="606"/>
      <c r="I555" s="606"/>
      <c r="J555" s="606"/>
      <c r="K555" s="606"/>
      <c r="L555" s="606"/>
      <c r="M555" s="606"/>
      <c r="DK555" s="339"/>
    </row>
    <row r="556" spans="5:115" ht="15">
      <c r="E556" s="606"/>
      <c r="F556" s="606"/>
      <c r="G556" s="606"/>
      <c r="H556" s="606"/>
      <c r="I556" s="606"/>
      <c r="J556" s="606"/>
      <c r="K556" s="606"/>
      <c r="L556" s="606"/>
      <c r="M556" s="606"/>
      <c r="DK556" s="339"/>
    </row>
    <row r="557" spans="5:115" ht="15">
      <c r="E557" s="606"/>
      <c r="F557" s="606"/>
      <c r="G557" s="606"/>
      <c r="H557" s="606"/>
      <c r="I557" s="606"/>
      <c r="J557" s="606"/>
      <c r="K557" s="606"/>
      <c r="L557" s="606"/>
      <c r="M557" s="606"/>
      <c r="DK557" s="339"/>
    </row>
    <row r="558" spans="5:115" ht="15">
      <c r="E558" s="606"/>
      <c r="F558" s="606"/>
      <c r="G558" s="606"/>
      <c r="H558" s="606"/>
      <c r="I558" s="606"/>
      <c r="J558" s="606"/>
      <c r="K558" s="606"/>
      <c r="L558" s="606"/>
      <c r="M558" s="606"/>
      <c r="DK558" s="339"/>
    </row>
    <row r="559" spans="5:115" ht="15">
      <c r="E559" s="606"/>
      <c r="F559" s="606"/>
      <c r="G559" s="606"/>
      <c r="H559" s="606"/>
      <c r="I559" s="606"/>
      <c r="J559" s="606"/>
      <c r="K559" s="606"/>
      <c r="L559" s="606"/>
      <c r="M559" s="606"/>
      <c r="DK559" s="339"/>
    </row>
    <row r="560" spans="5:115" ht="15">
      <c r="E560" s="606"/>
      <c r="F560" s="606"/>
      <c r="G560" s="606"/>
      <c r="H560" s="606"/>
      <c r="I560" s="606"/>
      <c r="J560" s="606"/>
      <c r="K560" s="606"/>
      <c r="L560" s="606"/>
      <c r="M560" s="606"/>
      <c r="DK560" s="339"/>
    </row>
    <row r="561" spans="5:115" ht="15">
      <c r="E561" s="606"/>
      <c r="F561" s="606"/>
      <c r="G561" s="606"/>
      <c r="H561" s="606"/>
      <c r="I561" s="606"/>
      <c r="J561" s="606"/>
      <c r="K561" s="606"/>
      <c r="L561" s="606"/>
      <c r="M561" s="606"/>
      <c r="DK561" s="339"/>
    </row>
    <row r="562" spans="5:115" ht="15">
      <c r="E562" s="606"/>
      <c r="F562" s="606"/>
      <c r="G562" s="606"/>
      <c r="H562" s="606"/>
      <c r="I562" s="606"/>
      <c r="J562" s="606"/>
      <c r="K562" s="606"/>
      <c r="L562" s="606"/>
      <c r="M562" s="606"/>
      <c r="DK562" s="339"/>
    </row>
    <row r="563" spans="5:115" ht="15">
      <c r="E563" s="606"/>
      <c r="F563" s="606"/>
      <c r="G563" s="606"/>
      <c r="H563" s="606"/>
      <c r="I563" s="606"/>
      <c r="J563" s="606"/>
      <c r="K563" s="606"/>
      <c r="L563" s="606"/>
      <c r="M563" s="606"/>
      <c r="DK563" s="339"/>
    </row>
    <row r="564" spans="5:115" ht="15">
      <c r="E564" s="606"/>
      <c r="F564" s="606"/>
      <c r="G564" s="606"/>
      <c r="H564" s="606"/>
      <c r="I564" s="606"/>
      <c r="J564" s="606"/>
      <c r="K564" s="606"/>
      <c r="L564" s="606"/>
      <c r="M564" s="606"/>
      <c r="DK564" s="339"/>
    </row>
    <row r="565" spans="5:115" ht="15">
      <c r="E565" s="606"/>
      <c r="F565" s="606"/>
      <c r="G565" s="606"/>
      <c r="H565" s="606"/>
      <c r="I565" s="606"/>
      <c r="J565" s="606"/>
      <c r="K565" s="606"/>
      <c r="L565" s="606"/>
      <c r="M565" s="606"/>
      <c r="DK565" s="339"/>
    </row>
    <row r="566" ht="15">
      <c r="DK566" s="339"/>
    </row>
    <row r="567" ht="15">
      <c r="DK567" s="339"/>
    </row>
    <row r="568" ht="15">
      <c r="DK568" s="339"/>
    </row>
    <row r="569" ht="15">
      <c r="DK569" s="339"/>
    </row>
    <row r="570" ht="15">
      <c r="DK570" s="339"/>
    </row>
    <row r="571" ht="15">
      <c r="DK571" s="339"/>
    </row>
    <row r="572" ht="15">
      <c r="DK572" s="339"/>
    </row>
    <row r="573" ht="15">
      <c r="DK573" s="339"/>
    </row>
    <row r="574" ht="15">
      <c r="DK574" s="339"/>
    </row>
    <row r="575" ht="15">
      <c r="DK575" s="339"/>
    </row>
    <row r="576" ht="15">
      <c r="DK576" s="339"/>
    </row>
    <row r="577" ht="15">
      <c r="DK577" s="339"/>
    </row>
    <row r="578" ht="15">
      <c r="DK578" s="339"/>
    </row>
    <row r="579" ht="15">
      <c r="DK579" s="339"/>
    </row>
    <row r="580" ht="15">
      <c r="DK580" s="339"/>
    </row>
    <row r="581" ht="15">
      <c r="DK581" s="339"/>
    </row>
    <row r="582" ht="15">
      <c r="DK582" s="339"/>
    </row>
    <row r="583" ht="15">
      <c r="DK583" s="339"/>
    </row>
    <row r="584" ht="15">
      <c r="DK584" s="339"/>
    </row>
    <row r="585" ht="15">
      <c r="DK585" s="339"/>
    </row>
    <row r="586" ht="15">
      <c r="DK586" s="339"/>
    </row>
    <row r="587" ht="15">
      <c r="DK587" s="339"/>
    </row>
    <row r="588" ht="15">
      <c r="DK588" s="339"/>
    </row>
    <row r="589" ht="15">
      <c r="DK589" s="339"/>
    </row>
    <row r="590" ht="15">
      <c r="DK590" s="339"/>
    </row>
    <row r="591" ht="15">
      <c r="DK591" s="339"/>
    </row>
    <row r="592" ht="15">
      <c r="DK592" s="339"/>
    </row>
    <row r="593" ht="15">
      <c r="DK593" s="339"/>
    </row>
    <row r="594" ht="15">
      <c r="DK594" s="339"/>
    </row>
    <row r="595" ht="15">
      <c r="DK595" s="339"/>
    </row>
    <row r="596" ht="15">
      <c r="DK596" s="339"/>
    </row>
    <row r="597" ht="15">
      <c r="DK597" s="339"/>
    </row>
    <row r="598" ht="15">
      <c r="DK598" s="339"/>
    </row>
    <row r="599" ht="15">
      <c r="DK599" s="339"/>
    </row>
    <row r="600" ht="15">
      <c r="DK600" s="339"/>
    </row>
    <row r="601" ht="15">
      <c r="DK601" s="339"/>
    </row>
    <row r="602" ht="15">
      <c r="DK602" s="339"/>
    </row>
    <row r="603" ht="15">
      <c r="DK603" s="339"/>
    </row>
    <row r="604" ht="15">
      <c r="DK604" s="339"/>
    </row>
    <row r="605" ht="15">
      <c r="DK605" s="339"/>
    </row>
    <row r="606" ht="15">
      <c r="DK606" s="339"/>
    </row>
    <row r="607" ht="15">
      <c r="DK607" s="339"/>
    </row>
    <row r="608" ht="15">
      <c r="DK608" s="339"/>
    </row>
    <row r="609" ht="15">
      <c r="DK609" s="339"/>
    </row>
    <row r="610" ht="15">
      <c r="DK610" s="339"/>
    </row>
    <row r="611" ht="15">
      <c r="DK611" s="339"/>
    </row>
    <row r="612" ht="15">
      <c r="DK612" s="339"/>
    </row>
    <row r="613" ht="15">
      <c r="DK613" s="339"/>
    </row>
    <row r="614" ht="15">
      <c r="DK614" s="339"/>
    </row>
    <row r="615" ht="15">
      <c r="DK615" s="339"/>
    </row>
    <row r="616" ht="15">
      <c r="DK616" s="339"/>
    </row>
    <row r="617" ht="15">
      <c r="DK617" s="339"/>
    </row>
    <row r="618" ht="15">
      <c r="DK618" s="339"/>
    </row>
    <row r="619" ht="15">
      <c r="DK619" s="339"/>
    </row>
    <row r="620" ht="15">
      <c r="DK620" s="339"/>
    </row>
    <row r="621" ht="15">
      <c r="DK621" s="339"/>
    </row>
    <row r="622" ht="15">
      <c r="DK622" s="339"/>
    </row>
    <row r="623" ht="15">
      <c r="DK623" s="339"/>
    </row>
    <row r="624" ht="15">
      <c r="DK624" s="339"/>
    </row>
    <row r="625" ht="15">
      <c r="DK625" s="339"/>
    </row>
    <row r="626" ht="15">
      <c r="DK626" s="339"/>
    </row>
    <row r="627" ht="15">
      <c r="DK627" s="339"/>
    </row>
    <row r="628" ht="15">
      <c r="DK628" s="339"/>
    </row>
    <row r="629" ht="15">
      <c r="DK629" s="339"/>
    </row>
    <row r="630" ht="15">
      <c r="DK630" s="339"/>
    </row>
    <row r="631" ht="15">
      <c r="DK631" s="339"/>
    </row>
    <row r="632" ht="15">
      <c r="DK632" s="339"/>
    </row>
    <row r="633" ht="15">
      <c r="DK633" s="339"/>
    </row>
    <row r="634" ht="15">
      <c r="DK634" s="339"/>
    </row>
    <row r="635" ht="15">
      <c r="DK635" s="339"/>
    </row>
    <row r="636" ht="15">
      <c r="DK636" s="339"/>
    </row>
    <row r="637" ht="15">
      <c r="DK637" s="339"/>
    </row>
    <row r="638" ht="15">
      <c r="DK638" s="339"/>
    </row>
    <row r="639" ht="15">
      <c r="DK639" s="339"/>
    </row>
    <row r="640" ht="15">
      <c r="DK640" s="339"/>
    </row>
    <row r="641" ht="15">
      <c r="DK641" s="339"/>
    </row>
    <row r="642" ht="15">
      <c r="DK642" s="339"/>
    </row>
    <row r="643" ht="15">
      <c r="DK643" s="339"/>
    </row>
    <row r="644" ht="15">
      <c r="DK644" s="339"/>
    </row>
    <row r="645" ht="15">
      <c r="DK645" s="339"/>
    </row>
    <row r="646" ht="15">
      <c r="DK646" s="339"/>
    </row>
    <row r="647" ht="15">
      <c r="DK647" s="339"/>
    </row>
    <row r="648" ht="15">
      <c r="DK648" s="339"/>
    </row>
    <row r="649" ht="15">
      <c r="DK649" s="339"/>
    </row>
    <row r="650" ht="15">
      <c r="DK650" s="339"/>
    </row>
    <row r="651" ht="15">
      <c r="DK651" s="339"/>
    </row>
    <row r="652" ht="15">
      <c r="DK652" s="339"/>
    </row>
    <row r="653" ht="15">
      <c r="DK653" s="339"/>
    </row>
    <row r="654" ht="15">
      <c r="DK654" s="339"/>
    </row>
    <row r="655" ht="15">
      <c r="DK655" s="339"/>
    </row>
    <row r="656" ht="15">
      <c r="DK656" s="339"/>
    </row>
    <row r="657" ht="15">
      <c r="DK657" s="339"/>
    </row>
    <row r="658" ht="15">
      <c r="DK658" s="339"/>
    </row>
    <row r="659" ht="15">
      <c r="DK659" s="339"/>
    </row>
    <row r="660" ht="15">
      <c r="DK660" s="339"/>
    </row>
    <row r="661" ht="15">
      <c r="DK661" s="339"/>
    </row>
    <row r="662" ht="15">
      <c r="DK662" s="339"/>
    </row>
    <row r="663" ht="15">
      <c r="DK663" s="339"/>
    </row>
    <row r="664" ht="15">
      <c r="DK664" s="339"/>
    </row>
    <row r="665" ht="15">
      <c r="DK665" s="339"/>
    </row>
    <row r="666" ht="15">
      <c r="DK666" s="339"/>
    </row>
    <row r="667" ht="15">
      <c r="DK667" s="339"/>
    </row>
    <row r="668" ht="15">
      <c r="DK668" s="339"/>
    </row>
    <row r="669" ht="15">
      <c r="DK669" s="339"/>
    </row>
    <row r="670" ht="15">
      <c r="DK670" s="339"/>
    </row>
    <row r="671" ht="15">
      <c r="DK671" s="339"/>
    </row>
    <row r="672" ht="15">
      <c r="DK672" s="339"/>
    </row>
    <row r="673" ht="15">
      <c r="DK673" s="339"/>
    </row>
    <row r="674" ht="15">
      <c r="DK674" s="339"/>
    </row>
    <row r="675" ht="15">
      <c r="DK675" s="339"/>
    </row>
    <row r="676" ht="15">
      <c r="DK676" s="339"/>
    </row>
    <row r="677" ht="15">
      <c r="DK677" s="339"/>
    </row>
    <row r="678" ht="15">
      <c r="DK678" s="339"/>
    </row>
    <row r="679" ht="15">
      <c r="DK679" s="339"/>
    </row>
    <row r="680" ht="15">
      <c r="DK680" s="339"/>
    </row>
    <row r="681" ht="15">
      <c r="DK681" s="339"/>
    </row>
    <row r="682" ht="15">
      <c r="DK682" s="339"/>
    </row>
    <row r="683" ht="15">
      <c r="DK683" s="339"/>
    </row>
    <row r="684" ht="15">
      <c r="DK684" s="339"/>
    </row>
    <row r="685" ht="15">
      <c r="DK685" s="339"/>
    </row>
    <row r="686" ht="15">
      <c r="DK686" s="339"/>
    </row>
    <row r="687" ht="15">
      <c r="DK687" s="339"/>
    </row>
    <row r="688" ht="15">
      <c r="DK688" s="339"/>
    </row>
    <row r="689" ht="15">
      <c r="DK689" s="339"/>
    </row>
    <row r="690" ht="15">
      <c r="DK690" s="339"/>
    </row>
    <row r="691" ht="15">
      <c r="DK691" s="339"/>
    </row>
    <row r="692" ht="15">
      <c r="DK692" s="339"/>
    </row>
    <row r="693" ht="15">
      <c r="DK693" s="339"/>
    </row>
    <row r="694" ht="15">
      <c r="DK694" s="339"/>
    </row>
    <row r="695" ht="15">
      <c r="DK695" s="339"/>
    </row>
    <row r="696" ht="15">
      <c r="DK696" s="339"/>
    </row>
    <row r="697" ht="15">
      <c r="DK697" s="339"/>
    </row>
    <row r="698" ht="15">
      <c r="DK698" s="339"/>
    </row>
    <row r="699" ht="15">
      <c r="DK699" s="339"/>
    </row>
    <row r="700" ht="15">
      <c r="DK700" s="339"/>
    </row>
    <row r="701" ht="15">
      <c r="DK701" s="339"/>
    </row>
    <row r="702" ht="15">
      <c r="DK702" s="339"/>
    </row>
    <row r="703" ht="15">
      <c r="DK703" s="339"/>
    </row>
    <row r="704" ht="15">
      <c r="DK704" s="339"/>
    </row>
    <row r="705" ht="15">
      <c r="DK705" s="339"/>
    </row>
    <row r="706" ht="15">
      <c r="DK706" s="339"/>
    </row>
    <row r="707" ht="15">
      <c r="DK707" s="339"/>
    </row>
    <row r="708" ht="15">
      <c r="DK708" s="339"/>
    </row>
    <row r="709" ht="15">
      <c r="DK709" s="339"/>
    </row>
    <row r="710" ht="15">
      <c r="DK710" s="339"/>
    </row>
    <row r="711" ht="15">
      <c r="DK711" s="339"/>
    </row>
    <row r="712" ht="15">
      <c r="DK712" s="339"/>
    </row>
    <row r="713" ht="15">
      <c r="DK713" s="339"/>
    </row>
    <row r="714" ht="15">
      <c r="DK714" s="339"/>
    </row>
    <row r="715" ht="15">
      <c r="DK715" s="339"/>
    </row>
    <row r="716" ht="15">
      <c r="DK716" s="339"/>
    </row>
    <row r="717" ht="15">
      <c r="DK717" s="339"/>
    </row>
    <row r="718" ht="15">
      <c r="DK718" s="339"/>
    </row>
    <row r="719" ht="15">
      <c r="DK719" s="339"/>
    </row>
    <row r="720" ht="15">
      <c r="DK720" s="339"/>
    </row>
    <row r="721" ht="15">
      <c r="DK721" s="339"/>
    </row>
    <row r="722" ht="15">
      <c r="DK722" s="339"/>
    </row>
    <row r="723" ht="15">
      <c r="DK723" s="339"/>
    </row>
    <row r="724" ht="15">
      <c r="DK724" s="339"/>
    </row>
    <row r="725" ht="15">
      <c r="DK725" s="339"/>
    </row>
    <row r="726" ht="15">
      <c r="DK726" s="339"/>
    </row>
    <row r="727" ht="15">
      <c r="DK727" s="339"/>
    </row>
    <row r="728" ht="15">
      <c r="DK728" s="339"/>
    </row>
    <row r="729" ht="15">
      <c r="DK729" s="339"/>
    </row>
    <row r="730" ht="15">
      <c r="DK730" s="339"/>
    </row>
    <row r="731" ht="15">
      <c r="DK731" s="339"/>
    </row>
    <row r="732" ht="15">
      <c r="DK732" s="339"/>
    </row>
    <row r="733" ht="15">
      <c r="DK733" s="339"/>
    </row>
    <row r="734" ht="15">
      <c r="DK734" s="339"/>
    </row>
    <row r="735" ht="15">
      <c r="DK735" s="339"/>
    </row>
    <row r="736" ht="15">
      <c r="DK736" s="339"/>
    </row>
    <row r="737" ht="15">
      <c r="DK737" s="339"/>
    </row>
    <row r="738" ht="15">
      <c r="DK738" s="339"/>
    </row>
    <row r="739" ht="15">
      <c r="DK739" s="339"/>
    </row>
    <row r="740" ht="15">
      <c r="DK740" s="339"/>
    </row>
    <row r="741" ht="15">
      <c r="DK741" s="339"/>
    </row>
    <row r="742" ht="15">
      <c r="DK742" s="339"/>
    </row>
    <row r="743" ht="15">
      <c r="DK743" s="339"/>
    </row>
    <row r="744" ht="15">
      <c r="DK744" s="339"/>
    </row>
    <row r="745" ht="15">
      <c r="DK745" s="339"/>
    </row>
    <row r="746" ht="15">
      <c r="DK746" s="339"/>
    </row>
    <row r="747" ht="15">
      <c r="DK747" s="339"/>
    </row>
    <row r="748" ht="15">
      <c r="DK748" s="339"/>
    </row>
    <row r="749" ht="15">
      <c r="DK749" s="339"/>
    </row>
    <row r="750" ht="15">
      <c r="DK750" s="339"/>
    </row>
    <row r="751" ht="15">
      <c r="DK751" s="339"/>
    </row>
    <row r="752" ht="15">
      <c r="DK752" s="339"/>
    </row>
    <row r="753" ht="15">
      <c r="DK753" s="339"/>
    </row>
    <row r="754" ht="15">
      <c r="DK754" s="339"/>
    </row>
    <row r="755" ht="15">
      <c r="DK755" s="339"/>
    </row>
    <row r="756" ht="15">
      <c r="DK756" s="339"/>
    </row>
    <row r="757" ht="15">
      <c r="DK757" s="339"/>
    </row>
    <row r="758" ht="15">
      <c r="DK758" s="339"/>
    </row>
    <row r="759" ht="15">
      <c r="DK759" s="339"/>
    </row>
    <row r="760" ht="15">
      <c r="DK760" s="339"/>
    </row>
    <row r="761" ht="15">
      <c r="DK761" s="339"/>
    </row>
    <row r="762" ht="15">
      <c r="DK762" s="339"/>
    </row>
    <row r="763" ht="15">
      <c r="DK763" s="339"/>
    </row>
    <row r="764" ht="15">
      <c r="DK764" s="339"/>
    </row>
    <row r="765" ht="15">
      <c r="DK765" s="339"/>
    </row>
    <row r="766" ht="15">
      <c r="DK766" s="339"/>
    </row>
    <row r="767" ht="15">
      <c r="DK767" s="339"/>
    </row>
    <row r="768" ht="15">
      <c r="DK768" s="339"/>
    </row>
    <row r="769" ht="15">
      <c r="DK769" s="339"/>
    </row>
    <row r="770" ht="15">
      <c r="DK770" s="339"/>
    </row>
    <row r="771" ht="15">
      <c r="DK771" s="339"/>
    </row>
    <row r="772" ht="15">
      <c r="DK772" s="339"/>
    </row>
    <row r="773" ht="15">
      <c r="DK773" s="339"/>
    </row>
    <row r="774" ht="15">
      <c r="DK774" s="339"/>
    </row>
    <row r="775" ht="15">
      <c r="DK775" s="339"/>
    </row>
    <row r="776" ht="15">
      <c r="DK776" s="339"/>
    </row>
    <row r="777" ht="15">
      <c r="DK777" s="339"/>
    </row>
    <row r="778" ht="15">
      <c r="DK778" s="339"/>
    </row>
    <row r="779" ht="15">
      <c r="DK779" s="339"/>
    </row>
    <row r="780" ht="15">
      <c r="DK780" s="339"/>
    </row>
    <row r="781" ht="15">
      <c r="DK781" s="339"/>
    </row>
    <row r="782" ht="15">
      <c r="DK782" s="339"/>
    </row>
    <row r="783" ht="15">
      <c r="DK783" s="339"/>
    </row>
    <row r="784" ht="15">
      <c r="DK784" s="339"/>
    </row>
    <row r="785" ht="15">
      <c r="DK785" s="339"/>
    </row>
    <row r="786" ht="15">
      <c r="DK786" s="339"/>
    </row>
    <row r="787" ht="15">
      <c r="DK787" s="339"/>
    </row>
    <row r="788" ht="15">
      <c r="DK788" s="339"/>
    </row>
    <row r="789" ht="15">
      <c r="DK789" s="339"/>
    </row>
    <row r="790" ht="15">
      <c r="DK790" s="339"/>
    </row>
    <row r="791" ht="15">
      <c r="DK791" s="339"/>
    </row>
    <row r="792" ht="15">
      <c r="DK792" s="339"/>
    </row>
    <row r="793" ht="15">
      <c r="DK793" s="339"/>
    </row>
    <row r="794" ht="15">
      <c r="DK794" s="339"/>
    </row>
    <row r="795" ht="15">
      <c r="DK795" s="339"/>
    </row>
    <row r="796" ht="15">
      <c r="DK796" s="339"/>
    </row>
    <row r="797" ht="15">
      <c r="DK797" s="339"/>
    </row>
    <row r="798" ht="15">
      <c r="DK798" s="339"/>
    </row>
    <row r="799" ht="15">
      <c r="DK799" s="339"/>
    </row>
    <row r="800" ht="15">
      <c r="DK800" s="339"/>
    </row>
    <row r="801" ht="15">
      <c r="DK801" s="339"/>
    </row>
    <row r="802" ht="15">
      <c r="DK802" s="339"/>
    </row>
    <row r="803" ht="15">
      <c r="DK803" s="339"/>
    </row>
    <row r="804" ht="15">
      <c r="DK804" s="339"/>
    </row>
    <row r="805" ht="15">
      <c r="DK805" s="339"/>
    </row>
    <row r="806" ht="15">
      <c r="DK806" s="339"/>
    </row>
    <row r="807" ht="15">
      <c r="DK807" s="339"/>
    </row>
    <row r="808" ht="15">
      <c r="DK808" s="339"/>
    </row>
    <row r="809" ht="15">
      <c r="DK809" s="339"/>
    </row>
    <row r="810" ht="15">
      <c r="DK810" s="339"/>
    </row>
    <row r="811" ht="15">
      <c r="DK811" s="339"/>
    </row>
    <row r="812" ht="15">
      <c r="DK812" s="339"/>
    </row>
    <row r="813" ht="15">
      <c r="DK813" s="339"/>
    </row>
    <row r="814" ht="15">
      <c r="DK814" s="339"/>
    </row>
    <row r="815" ht="15">
      <c r="DK815" s="339"/>
    </row>
    <row r="816" ht="15">
      <c r="DK816" s="339"/>
    </row>
    <row r="817" ht="15">
      <c r="DK817" s="339"/>
    </row>
    <row r="818" ht="15">
      <c r="DK818" s="339"/>
    </row>
    <row r="819" ht="15">
      <c r="DK819" s="339"/>
    </row>
    <row r="820" ht="15">
      <c r="DK820" s="339"/>
    </row>
    <row r="821" ht="15">
      <c r="DK821" s="339"/>
    </row>
    <row r="822" ht="15">
      <c r="DK822" s="339"/>
    </row>
    <row r="823" ht="15">
      <c r="DK823" s="339"/>
    </row>
    <row r="824" ht="15">
      <c r="DK824" s="339"/>
    </row>
    <row r="825" ht="15">
      <c r="DK825" s="339"/>
    </row>
    <row r="826" ht="15">
      <c r="DK826" s="339"/>
    </row>
    <row r="827" ht="15">
      <c r="DK827" s="339"/>
    </row>
    <row r="828" ht="15">
      <c r="DK828" s="339"/>
    </row>
    <row r="829" ht="15">
      <c r="DK829" s="339"/>
    </row>
    <row r="830" ht="15">
      <c r="DK830" s="339"/>
    </row>
    <row r="831" ht="15">
      <c r="DK831" s="339"/>
    </row>
    <row r="832" ht="15">
      <c r="DK832" s="339"/>
    </row>
    <row r="833" ht="15">
      <c r="DK833" s="339"/>
    </row>
    <row r="834" ht="15">
      <c r="DK834" s="339"/>
    </row>
    <row r="835" ht="15">
      <c r="DK835" s="339"/>
    </row>
    <row r="836" ht="15">
      <c r="DK836" s="339"/>
    </row>
    <row r="837" ht="15">
      <c r="DK837" s="339"/>
    </row>
    <row r="838" ht="15">
      <c r="DK838" s="339"/>
    </row>
    <row r="839" ht="15">
      <c r="DK839" s="339"/>
    </row>
  </sheetData>
  <sheetProtection/>
  <mergeCells count="23">
    <mergeCell ref="DA4:DH5"/>
    <mergeCell ref="DL3:DS4"/>
    <mergeCell ref="BW3:CD3"/>
    <mergeCell ref="CG3:CN3"/>
    <mergeCell ref="DA3:DH3"/>
    <mergeCell ref="E4:L5"/>
    <mergeCell ref="O4:V5"/>
    <mergeCell ref="Y4:AF5"/>
    <mergeCell ref="AI4:AP5"/>
    <mergeCell ref="O3:V3"/>
    <mergeCell ref="E3:L3"/>
    <mergeCell ref="Y3:AF3"/>
    <mergeCell ref="AI3:AP3"/>
    <mergeCell ref="DL8:DT8"/>
    <mergeCell ref="AS3:AZ3"/>
    <mergeCell ref="BC3:BJ3"/>
    <mergeCell ref="BM3:BT3"/>
    <mergeCell ref="CG4:CN5"/>
    <mergeCell ref="AS4:AZ5"/>
    <mergeCell ref="BC4:BJ5"/>
    <mergeCell ref="BM4:BT5"/>
    <mergeCell ref="BW4:CD5"/>
    <mergeCell ref="CQ4:CX5"/>
  </mergeCells>
  <printOptions horizontalCentered="1"/>
  <pageMargins left="0.15748031496062992" right="0.15748031496062992" top="0.984251968503937" bottom="0.984251968503937" header="0.5118110236220472" footer="0.5118110236220472"/>
  <pageSetup fitToHeight="10" fitToWidth="2" horizontalDpi="360" verticalDpi="360" orientation="landscape" paperSize="9" scale="24" r:id="rId1"/>
  <colBreaks count="1" manualBreakCount="1">
    <brk id="6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of CTB scheme</dc:title>
  <dc:subject/>
  <dc:creator>LGF</dc:creator>
  <cp:keywords/>
  <dc:description/>
  <cp:lastModifiedBy>gossp</cp:lastModifiedBy>
  <cp:lastPrinted>2008-01-08T11:52:31Z</cp:lastPrinted>
  <dcterms:created xsi:type="dcterms:W3CDTF">2000-02-14T13:52:12Z</dcterms:created>
  <dcterms:modified xsi:type="dcterms:W3CDTF">2008-01-08T11:53:17Z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