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235" windowHeight="6150" firstSheet="1" activeTab="1"/>
  </bookViews>
  <sheets>
    <sheet name="2007-08 Projection" sheetId="1" state="hidden" r:id="rId1"/>
    <sheet name="Forecast (2)" sheetId="2" r:id="rId2"/>
  </sheets>
  <definedNames/>
  <calcPr fullCalcOnLoad="1"/>
</workbook>
</file>

<file path=xl/sharedStrings.xml><?xml version="1.0" encoding="utf-8"?>
<sst xmlns="http://schemas.openxmlformats.org/spreadsheetml/2006/main" count="131" uniqueCount="100">
  <si>
    <t>2007/08</t>
  </si>
  <si>
    <t>£'000</t>
  </si>
  <si>
    <t>Finance &amp; Corporate Resources/Central</t>
  </si>
  <si>
    <t xml:space="preserve">Children &amp; Familes </t>
  </si>
  <si>
    <t>Environment and Culture</t>
  </si>
  <si>
    <t>Housing and Community Care</t>
  </si>
  <si>
    <t>Children's Services Revised Grant</t>
  </si>
  <si>
    <t>Debt Restructuring</t>
  </si>
  <si>
    <t>Adjustment to Council Tax Base</t>
  </si>
  <si>
    <t>Net Change</t>
  </si>
  <si>
    <t>Revised Gap</t>
  </si>
  <si>
    <t>PCG</t>
  </si>
  <si>
    <t>Changes</t>
  </si>
  <si>
    <t>Additional Service Area Savings Proposals Agreed</t>
  </si>
  <si>
    <t>Review of Publications</t>
  </si>
  <si>
    <t>CRB Charges to Schools</t>
  </si>
  <si>
    <t>Increased Advertising Income</t>
  </si>
  <si>
    <t>Parking Account (Subject to meeting on 17th January)</t>
  </si>
  <si>
    <t>Charging for Bulky Waste</t>
  </si>
  <si>
    <t>Insurance Fund</t>
  </si>
  <si>
    <t xml:space="preserve"> - Libraries</t>
  </si>
  <si>
    <t xml:space="preserve"> - Full year effect of benefit claims for Children &amp; Family claimants over 16 in accommodation</t>
  </si>
  <si>
    <t>0.5% reduction in provision of pay award increase to 2.5%</t>
  </si>
  <si>
    <t>Ward Working</t>
  </si>
  <si>
    <t>Other Adjustments</t>
  </si>
  <si>
    <t>Debt Charges - revised assumption on borrowing rate 4.25%</t>
  </si>
  <si>
    <t>Savings Gap (1st Reading/PCG - 5% Council Tax rise)</t>
  </si>
  <si>
    <t>Notes</t>
  </si>
  <si>
    <t xml:space="preserve">REVENUE PROJECTIONS 2007/08 </t>
  </si>
  <si>
    <t>Away Day</t>
  </si>
  <si>
    <t>PCG Savings Agreed</t>
  </si>
  <si>
    <t xml:space="preserve"> - Freemans Centre</t>
  </si>
  <si>
    <t xml:space="preserve"> - Referral &amp; Assessment Team</t>
  </si>
  <si>
    <t xml:space="preserve"> - Improve Services to Children with Learning Difficulties</t>
  </si>
  <si>
    <t>Other Savings</t>
  </si>
  <si>
    <t>Details on Schedule 1 - Growth to slip by 3 months where feasible. Growth reduces from £3.629m to £3.352m.</t>
  </si>
  <si>
    <t>Details on Schedule 2</t>
  </si>
  <si>
    <t>Other Reductions to Central Items</t>
  </si>
  <si>
    <t>Service Priority Growth - Slippage</t>
  </si>
  <si>
    <t>Proposed Additional Savings</t>
  </si>
  <si>
    <t>Service Priority Growth Reductions</t>
  </si>
  <si>
    <t>Details on Schedule 3</t>
  </si>
  <si>
    <t xml:space="preserve"> - Update ACD System at One Stop Shop Contact Centre </t>
  </si>
  <si>
    <t xml:space="preserve"> - Change Implementation - One Stop Shop</t>
  </si>
  <si>
    <t xml:space="preserve"> - Switch from Street Wardens to PCSO's. </t>
  </si>
  <si>
    <t>2006/07</t>
  </si>
  <si>
    <t>2008/09</t>
  </si>
  <si>
    <t>2009/10</t>
  </si>
  <si>
    <t>2010/11</t>
  </si>
  <si>
    <t>Service Area Budgets (SABs)</t>
  </si>
  <si>
    <t xml:space="preserve"> - Housing and Customer Services</t>
  </si>
  <si>
    <t xml:space="preserve"> - Adults and Social Care</t>
  </si>
  <si>
    <t xml:space="preserve">Total SABs </t>
  </si>
  <si>
    <t>Central Items</t>
  </si>
  <si>
    <t>Other Budgets</t>
  </si>
  <si>
    <t>Contingency Balances</t>
  </si>
  <si>
    <t>Total Budget Requirement</t>
  </si>
  <si>
    <t>Plus Deficit on the Collection Fund</t>
  </si>
  <si>
    <t>Grand Total</t>
  </si>
  <si>
    <t>Revised Grand Total</t>
  </si>
  <si>
    <t xml:space="preserve">% spending increase </t>
  </si>
  <si>
    <t>Grant Calculation for Future Years</t>
  </si>
  <si>
    <t>% Increase in Brent part of CT</t>
  </si>
  <si>
    <t>Combined Brent and GLA council tax</t>
  </si>
  <si>
    <t>% Increase in combined CT</t>
  </si>
  <si>
    <t xml:space="preserve">Balances </t>
  </si>
  <si>
    <t>Balances Brought Forward</t>
  </si>
  <si>
    <t>Overspends 2006/07</t>
  </si>
  <si>
    <t>Contribution to/Use of Balances</t>
  </si>
  <si>
    <t>Balances Carried Forward</t>
  </si>
  <si>
    <t>GLA (actual for 2006/07 with 5.3% for 2007/08 and 5% for future years)</t>
  </si>
  <si>
    <t>PCT Growth</t>
  </si>
  <si>
    <t>Total Gap</t>
  </si>
  <si>
    <t>2006/07 Betterment</t>
  </si>
  <si>
    <t>ASC Further Potential Savings</t>
  </si>
  <si>
    <t>ASC - Reconfiguration of Service</t>
  </si>
  <si>
    <t>Movement in Central Items</t>
  </si>
  <si>
    <t>Council Tax Reduction from 5%</t>
  </si>
  <si>
    <t>UPDATED POSITION ( WITH COUNCIL TAX RISE AT 5%)</t>
  </si>
  <si>
    <t>PCT Cost Shunting</t>
  </si>
  <si>
    <t>Reprofiling</t>
  </si>
  <si>
    <t>PCT Savings</t>
  </si>
  <si>
    <t>Net PCT Growth</t>
  </si>
  <si>
    <t>Council Tax Calculation for Future(including GLA) - exemplified for 4.9% rise in Council Tax</t>
  </si>
  <si>
    <t xml:space="preserve">Council Tax Calculation for Future </t>
  </si>
  <si>
    <t>Additional Growth Pressures and Priorities</t>
  </si>
  <si>
    <t>Reductions required to achieve council tax increase of 4.8% in 2007/08 and 5% in following years</t>
  </si>
  <si>
    <t>Savings Required at 0% and 5% Council Tax Increase with 2.5% Increase in Grant</t>
  </si>
  <si>
    <t>Savings Required at 0% and 5% Council Tax Increase with 1% Increase in Grant</t>
  </si>
  <si>
    <t>Brent Council Tax Requirement (£) -  94,047 in 2006/07 and 93,900 in 2007/08 and 0.75% increase in subsequent years</t>
  </si>
  <si>
    <t>Settlement 2006/07 and provisional settlement 2007/08 - 1.0% in 2008/09 to 2010/11</t>
  </si>
  <si>
    <t>Brent Council Tax Requirement (£) -  94,047 in 2006/07 and 93,900 in 2007/08 and 0.75% increase in future years</t>
  </si>
  <si>
    <t xml:space="preserve"> </t>
  </si>
  <si>
    <t>Reductions required to achieve council tax increase of 4.8% in 2007/08 and 0% in following years</t>
  </si>
  <si>
    <t>Growth Outside SABs</t>
  </si>
  <si>
    <t>Growth due to demand, price and loss of income</t>
  </si>
  <si>
    <t xml:space="preserve">Service Priority Growth </t>
  </si>
  <si>
    <t>Contribution to/(from) Balances</t>
  </si>
  <si>
    <t>Temporary Accomodation - Subsidy Cap</t>
  </si>
  <si>
    <t>Settlement 2006/07 and settlement 2007/08 - 2.5% in 2008/09 to 2010/11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</si>
</sst>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###/##"/>
    <numFmt numFmtId="166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164" fontId="2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wrapText="1"/>
    </xf>
    <xf numFmtId="164" fontId="3" fillId="0" borderId="0" xfId="0" applyNumberFormat="1" applyFont="1" applyAlignment="1" quotePrefix="1">
      <alignment wrapText="1"/>
    </xf>
    <xf numFmtId="164" fontId="4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 quotePrefix="1">
      <alignment horizontal="right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 quotePrefix="1">
      <alignment wrapText="1"/>
    </xf>
    <xf numFmtId="164" fontId="6" fillId="0" borderId="1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6" fillId="0" borderId="0" xfId="19" applyNumberFormat="1" applyFont="1" applyAlignment="1">
      <alignment wrapText="1"/>
      <protection/>
    </xf>
    <xf numFmtId="164" fontId="6" fillId="0" borderId="0" xfId="19" applyNumberFormat="1" applyFont="1">
      <alignment/>
      <protection/>
    </xf>
    <xf numFmtId="164" fontId="5" fillId="0" borderId="0" xfId="19" applyNumberFormat="1" applyFont="1" applyBorder="1">
      <alignment/>
      <protection/>
    </xf>
    <xf numFmtId="164" fontId="6" fillId="0" borderId="3" xfId="19" applyNumberFormat="1" applyFont="1" applyBorder="1">
      <alignment/>
      <protection/>
    </xf>
    <xf numFmtId="164" fontId="6" fillId="0" borderId="0" xfId="19" applyNumberFormat="1" applyFont="1" applyBorder="1">
      <alignment/>
      <protection/>
    </xf>
    <xf numFmtId="164" fontId="5" fillId="0" borderId="0" xfId="19" applyNumberFormat="1" applyFont="1" applyAlignment="1">
      <alignment wrapText="1"/>
      <protection/>
    </xf>
    <xf numFmtId="164" fontId="5" fillId="0" borderId="4" xfId="19" applyNumberFormat="1" applyFont="1" applyBorder="1" applyAlignment="1">
      <alignment wrapText="1"/>
      <protection/>
    </xf>
    <xf numFmtId="164" fontId="6" fillId="0" borderId="4" xfId="19" applyNumberFormat="1" applyFont="1" applyBorder="1">
      <alignment/>
      <protection/>
    </xf>
    <xf numFmtId="166" fontId="5" fillId="0" borderId="4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left" wrapText="1"/>
    </xf>
    <xf numFmtId="164" fontId="5" fillId="0" borderId="4" xfId="0" applyNumberFormat="1" applyFont="1" applyBorder="1" applyAlignment="1">
      <alignment wrapText="1"/>
    </xf>
    <xf numFmtId="164" fontId="6" fillId="0" borderId="4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166" fontId="6" fillId="0" borderId="4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166" fontId="6" fillId="0" borderId="4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/>
    </xf>
    <xf numFmtId="164" fontId="6" fillId="0" borderId="0" xfId="19" applyNumberFormat="1" applyFont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ME00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workbookViewId="0" topLeftCell="A1">
      <selection activeCell="E3" sqref="E3"/>
    </sheetView>
  </sheetViews>
  <sheetFormatPr defaultColWidth="9.140625" defaultRowHeight="12.75"/>
  <cols>
    <col min="1" max="1" width="77.140625" style="0" customWidth="1"/>
    <col min="2" max="2" width="2.57421875" style="2" customWidth="1"/>
    <col min="3" max="3" width="13.7109375" style="4" customWidth="1"/>
    <col min="4" max="4" width="14.8515625" style="4" customWidth="1"/>
    <col min="5" max="5" width="18.00390625" style="4" customWidth="1"/>
    <col min="6" max="6" width="48.57421875" style="3" customWidth="1"/>
    <col min="7" max="7" width="9.140625" style="2" customWidth="1"/>
  </cols>
  <sheetData>
    <row r="1" spans="1:6" ht="18">
      <c r="A1" s="5" t="s">
        <v>78</v>
      </c>
      <c r="B1" s="6"/>
      <c r="C1" s="6"/>
      <c r="D1" s="6"/>
      <c r="E1" s="6"/>
      <c r="F1" s="7"/>
    </row>
    <row r="2" spans="1:6" ht="7.5" customHeight="1">
      <c r="A2" s="8"/>
      <c r="B2" s="6"/>
      <c r="C2" s="6"/>
      <c r="D2" s="6"/>
      <c r="E2" s="6"/>
      <c r="F2" s="7"/>
    </row>
    <row r="3" spans="1:6" ht="18">
      <c r="A3" s="5" t="s">
        <v>28</v>
      </c>
      <c r="B3" s="6"/>
      <c r="C3" s="6"/>
      <c r="D3" s="6"/>
      <c r="E3" s="6"/>
      <c r="F3" s="7"/>
    </row>
    <row r="4" spans="1:6" ht="9" customHeight="1">
      <c r="A4" s="8"/>
      <c r="B4" s="6"/>
      <c r="C4" s="6"/>
      <c r="D4" s="6"/>
      <c r="E4" s="6"/>
      <c r="F4" s="7"/>
    </row>
    <row r="5" spans="1:7" s="1" customFormat="1" ht="18">
      <c r="A5" s="5"/>
      <c r="B5" s="7"/>
      <c r="C5" s="9" t="s">
        <v>0</v>
      </c>
      <c r="D5" s="9" t="s">
        <v>0</v>
      </c>
      <c r="E5" s="9" t="s">
        <v>0</v>
      </c>
      <c r="F5" s="7"/>
      <c r="G5" s="3"/>
    </row>
    <row r="6" spans="1:7" s="1" customFormat="1" ht="18">
      <c r="A6" s="5"/>
      <c r="B6" s="7"/>
      <c r="C6" s="9" t="s">
        <v>11</v>
      </c>
      <c r="D6" s="9" t="s">
        <v>29</v>
      </c>
      <c r="E6" s="9" t="s">
        <v>11</v>
      </c>
      <c r="F6" s="9"/>
      <c r="G6" s="3"/>
    </row>
    <row r="7" spans="1:7" s="1" customFormat="1" ht="18">
      <c r="A7" s="5"/>
      <c r="B7" s="7"/>
      <c r="C7" s="9" t="s">
        <v>12</v>
      </c>
      <c r="D7" s="9" t="s">
        <v>12</v>
      </c>
      <c r="E7" s="9" t="s">
        <v>12</v>
      </c>
      <c r="F7" s="9" t="s">
        <v>27</v>
      </c>
      <c r="G7" s="3"/>
    </row>
    <row r="8" spans="1:7" s="1" customFormat="1" ht="18">
      <c r="A8" s="5"/>
      <c r="B8" s="7"/>
      <c r="C8" s="10" t="s">
        <v>1</v>
      </c>
      <c r="D8" s="10" t="s">
        <v>1</v>
      </c>
      <c r="E8" s="10" t="s">
        <v>1</v>
      </c>
      <c r="F8" s="5"/>
      <c r="G8" s="3"/>
    </row>
    <row r="9" spans="1:7" s="1" customFormat="1" ht="18">
      <c r="A9" s="5"/>
      <c r="B9" s="7"/>
      <c r="C9" s="5"/>
      <c r="D9" s="5"/>
      <c r="E9" s="10"/>
      <c r="F9" s="7"/>
      <c r="G9" s="3"/>
    </row>
    <row r="10" spans="1:6" ht="18">
      <c r="A10" s="8"/>
      <c r="B10" s="6"/>
      <c r="C10" s="6"/>
      <c r="D10" s="6"/>
      <c r="E10" s="6"/>
      <c r="F10" s="7"/>
    </row>
    <row r="11" spans="1:6" ht="18">
      <c r="A11" s="8"/>
      <c r="B11" s="6"/>
      <c r="C11" s="6"/>
      <c r="D11" s="6"/>
      <c r="E11" s="6"/>
      <c r="F11" s="7"/>
    </row>
    <row r="12" spans="1:7" s="1" customFormat="1" ht="18">
      <c r="A12" s="11" t="s">
        <v>26</v>
      </c>
      <c r="B12" s="7"/>
      <c r="C12" s="7">
        <v>20889</v>
      </c>
      <c r="D12" s="7">
        <v>4759</v>
      </c>
      <c r="E12" s="7">
        <v>180</v>
      </c>
      <c r="F12" s="7"/>
      <c r="G12" s="3"/>
    </row>
    <row r="13" spans="1:7" s="1" customFormat="1" ht="18">
      <c r="A13" s="11"/>
      <c r="B13" s="7"/>
      <c r="C13" s="7"/>
      <c r="D13" s="7"/>
      <c r="E13" s="7"/>
      <c r="F13" s="7"/>
      <c r="G13" s="3"/>
    </row>
    <row r="14" spans="1:7" s="1" customFormat="1" ht="18">
      <c r="A14" s="12" t="s">
        <v>30</v>
      </c>
      <c r="B14" s="7"/>
      <c r="C14" s="7"/>
      <c r="D14" s="7"/>
      <c r="E14" s="7"/>
      <c r="F14" s="7"/>
      <c r="G14" s="3"/>
    </row>
    <row r="15" spans="1:7" s="1" customFormat="1" ht="18">
      <c r="A15" s="11"/>
      <c r="B15" s="7"/>
      <c r="C15" s="7"/>
      <c r="D15" s="7"/>
      <c r="E15" s="7"/>
      <c r="F15" s="7"/>
      <c r="G15" s="3"/>
    </row>
    <row r="16" spans="1:6" ht="18">
      <c r="A16" s="13" t="s">
        <v>22</v>
      </c>
      <c r="B16" s="6"/>
      <c r="C16" s="14"/>
      <c r="D16" s="6">
        <v>568</v>
      </c>
      <c r="E16" s="6"/>
      <c r="F16" s="7"/>
    </row>
    <row r="17" spans="1:6" ht="18">
      <c r="A17" s="13" t="s">
        <v>23</v>
      </c>
      <c r="B17" s="6"/>
      <c r="C17" s="14"/>
      <c r="D17" s="6">
        <v>520</v>
      </c>
      <c r="E17" s="6"/>
      <c r="F17" s="7"/>
    </row>
    <row r="18" spans="1:6" ht="18">
      <c r="A18" s="13"/>
      <c r="B18" s="6"/>
      <c r="C18" s="7">
        <f>SUM(C16:C17)</f>
        <v>0</v>
      </c>
      <c r="D18" s="7">
        <f>SUM(D16:D17)</f>
        <v>1088</v>
      </c>
      <c r="E18" s="7">
        <f>SUM(E16:E17)</f>
        <v>0</v>
      </c>
      <c r="F18" s="7"/>
    </row>
    <row r="19" spans="1:7" s="1" customFormat="1" ht="18">
      <c r="A19" s="11"/>
      <c r="B19" s="7"/>
      <c r="C19" s="7"/>
      <c r="D19" s="7"/>
      <c r="E19" s="7"/>
      <c r="F19" s="7"/>
      <c r="G19" s="3"/>
    </row>
    <row r="20" spans="1:6" ht="18">
      <c r="A20" s="15" t="s">
        <v>38</v>
      </c>
      <c r="B20" s="6"/>
      <c r="C20" s="6"/>
      <c r="D20" s="6"/>
      <c r="E20" s="6"/>
      <c r="F20" s="7"/>
    </row>
    <row r="21" spans="1:6" ht="18">
      <c r="A21" s="13" t="s">
        <v>2</v>
      </c>
      <c r="B21" s="6"/>
      <c r="C21" s="6">
        <v>241</v>
      </c>
      <c r="D21" s="6">
        <v>0</v>
      </c>
      <c r="E21" s="6"/>
      <c r="F21" s="7"/>
    </row>
    <row r="22" spans="1:6" ht="18">
      <c r="A22" s="13" t="s">
        <v>3</v>
      </c>
      <c r="B22" s="6"/>
      <c r="C22" s="6">
        <f>1951-480</f>
        <v>1471</v>
      </c>
      <c r="D22" s="6">
        <f>115</f>
        <v>115</v>
      </c>
      <c r="E22" s="6"/>
      <c r="F22" s="16"/>
    </row>
    <row r="23" spans="1:6" ht="18">
      <c r="A23" s="13" t="s">
        <v>4</v>
      </c>
      <c r="B23" s="6"/>
      <c r="C23" s="6">
        <f>8434-2517</f>
        <v>5917</v>
      </c>
      <c r="D23" s="6">
        <f>7</f>
        <v>7</v>
      </c>
      <c r="E23" s="6"/>
      <c r="F23" s="17"/>
    </row>
    <row r="24" spans="1:6" ht="18">
      <c r="A24" s="13" t="s">
        <v>5</v>
      </c>
      <c r="B24" s="6"/>
      <c r="C24" s="6">
        <f>2248-632</f>
        <v>1616</v>
      </c>
      <c r="D24" s="6">
        <v>155</v>
      </c>
      <c r="E24" s="6"/>
      <c r="F24" s="7"/>
    </row>
    <row r="25" spans="1:6" ht="72">
      <c r="A25" s="18"/>
      <c r="B25" s="6"/>
      <c r="C25" s="7">
        <f>SUM(C21:C24)</f>
        <v>9245</v>
      </c>
      <c r="D25" s="7">
        <f>SUM(D21:D24)</f>
        <v>277</v>
      </c>
      <c r="E25" s="7">
        <f>SUM(E21:E24)</f>
        <v>0</v>
      </c>
      <c r="F25" s="17" t="s">
        <v>35</v>
      </c>
    </row>
    <row r="26" spans="1:6" ht="18">
      <c r="A26" s="19" t="s">
        <v>34</v>
      </c>
      <c r="B26" s="6"/>
      <c r="C26" s="7"/>
      <c r="D26" s="7"/>
      <c r="E26" s="7"/>
      <c r="F26" s="17"/>
    </row>
    <row r="27" spans="1:6" ht="18">
      <c r="A27" s="8"/>
      <c r="B27" s="6"/>
      <c r="C27" s="6"/>
      <c r="D27" s="6"/>
      <c r="E27" s="6"/>
      <c r="F27" s="7"/>
    </row>
    <row r="28" spans="1:6" ht="18">
      <c r="A28" s="20" t="s">
        <v>13</v>
      </c>
      <c r="B28" s="6"/>
      <c r="C28" s="14"/>
      <c r="D28" s="6"/>
      <c r="E28" s="6"/>
      <c r="F28" s="7"/>
    </row>
    <row r="29" spans="1:6" ht="18">
      <c r="A29" s="13" t="s">
        <v>2</v>
      </c>
      <c r="B29" s="6"/>
      <c r="C29" s="6">
        <f>1089+663+40</f>
        <v>1792</v>
      </c>
      <c r="D29" s="6"/>
      <c r="E29" s="6"/>
      <c r="F29" s="7"/>
    </row>
    <row r="30" spans="1:6" ht="18">
      <c r="A30" s="13" t="s">
        <v>3</v>
      </c>
      <c r="B30" s="6"/>
      <c r="C30" s="14">
        <v>150</v>
      </c>
      <c r="D30" s="6"/>
      <c r="E30" s="6"/>
      <c r="F30" s="7"/>
    </row>
    <row r="31" spans="1:6" ht="18">
      <c r="A31" s="13" t="s">
        <v>4</v>
      </c>
      <c r="B31" s="6"/>
      <c r="C31" s="6">
        <v>460</v>
      </c>
      <c r="D31" s="6"/>
      <c r="E31" s="6"/>
      <c r="F31" s="7"/>
    </row>
    <row r="32" spans="1:6" ht="18">
      <c r="A32" s="13" t="s">
        <v>5</v>
      </c>
      <c r="B32" s="6"/>
      <c r="C32" s="6">
        <f>446+45</f>
        <v>491</v>
      </c>
      <c r="D32" s="6"/>
      <c r="E32" s="6"/>
      <c r="F32" s="7"/>
    </row>
    <row r="33" spans="1:6" ht="18">
      <c r="A33" s="13"/>
      <c r="B33" s="6"/>
      <c r="C33" s="7">
        <f>SUM(C29:C32)</f>
        <v>2893</v>
      </c>
      <c r="D33" s="7">
        <f>SUM(D29:D32)</f>
        <v>0</v>
      </c>
      <c r="E33" s="7">
        <f>SUM(E29:E32)</f>
        <v>0</v>
      </c>
      <c r="F33" s="7"/>
    </row>
    <row r="34" spans="1:6" ht="18">
      <c r="A34" s="13"/>
      <c r="B34" s="6"/>
      <c r="C34" s="6"/>
      <c r="D34" s="6"/>
      <c r="E34" s="6"/>
      <c r="F34" s="7"/>
    </row>
    <row r="35" spans="1:6" ht="18">
      <c r="A35" s="20" t="s">
        <v>39</v>
      </c>
      <c r="B35" s="6"/>
      <c r="C35" s="6"/>
      <c r="D35" s="6"/>
      <c r="E35" s="6"/>
      <c r="F35" s="7"/>
    </row>
    <row r="36" spans="1:6" ht="18">
      <c r="A36" s="13" t="s">
        <v>6</v>
      </c>
      <c r="B36" s="6"/>
      <c r="C36" s="14">
        <v>439</v>
      </c>
      <c r="D36" s="6"/>
      <c r="E36" s="6"/>
      <c r="F36" s="7"/>
    </row>
    <row r="37" spans="1:6" ht="18">
      <c r="A37" s="13" t="s">
        <v>14</v>
      </c>
      <c r="B37" s="6"/>
      <c r="C37" s="14"/>
      <c r="D37" s="6">
        <v>50</v>
      </c>
      <c r="E37" s="6"/>
      <c r="F37" s="7"/>
    </row>
    <row r="38" spans="1:6" ht="18">
      <c r="A38" s="13" t="s">
        <v>15</v>
      </c>
      <c r="B38" s="6"/>
      <c r="C38" s="14"/>
      <c r="D38" s="6">
        <v>60</v>
      </c>
      <c r="E38" s="6"/>
      <c r="F38" s="7"/>
    </row>
    <row r="39" spans="1:6" ht="18">
      <c r="A39" s="13" t="s">
        <v>16</v>
      </c>
      <c r="B39" s="6"/>
      <c r="C39" s="14"/>
      <c r="D39" s="6">
        <v>40</v>
      </c>
      <c r="E39" s="6"/>
      <c r="F39" s="7"/>
    </row>
    <row r="40" spans="1:6" ht="18">
      <c r="A40" s="13" t="s">
        <v>17</v>
      </c>
      <c r="B40" s="6"/>
      <c r="C40" s="14"/>
      <c r="D40" s="6">
        <v>175</v>
      </c>
      <c r="E40" s="6"/>
      <c r="F40" s="7"/>
    </row>
    <row r="41" spans="1:6" ht="18">
      <c r="A41" s="13" t="s">
        <v>18</v>
      </c>
      <c r="B41" s="6"/>
      <c r="C41" s="14"/>
      <c r="D41" s="6">
        <v>275</v>
      </c>
      <c r="E41" s="6"/>
      <c r="F41" s="7"/>
    </row>
    <row r="42" spans="1:6" ht="18">
      <c r="A42" s="13"/>
      <c r="B42" s="6"/>
      <c r="C42" s="21">
        <f>SUM(C36:C41)</f>
        <v>439</v>
      </c>
      <c r="D42" s="21">
        <f>SUM(D36:D41)</f>
        <v>600</v>
      </c>
      <c r="E42" s="21">
        <f>SUM(E36:E41)</f>
        <v>0</v>
      </c>
      <c r="F42" s="7" t="s">
        <v>36</v>
      </c>
    </row>
    <row r="43" spans="1:6" ht="18">
      <c r="A43" s="13"/>
      <c r="B43" s="6"/>
      <c r="C43" s="21"/>
      <c r="D43" s="21"/>
      <c r="E43" s="21"/>
      <c r="F43" s="7"/>
    </row>
    <row r="44" spans="1:6" ht="18">
      <c r="A44" s="20" t="s">
        <v>40</v>
      </c>
      <c r="B44" s="6"/>
      <c r="C44" s="6"/>
      <c r="D44" s="6"/>
      <c r="E44" s="6"/>
      <c r="F44" s="7"/>
    </row>
    <row r="45" spans="1:6" ht="18">
      <c r="A45" s="13" t="s">
        <v>2</v>
      </c>
      <c r="B45" s="6"/>
      <c r="C45" s="6">
        <v>0</v>
      </c>
      <c r="D45" s="6"/>
      <c r="E45" s="6"/>
      <c r="F45" s="7"/>
    </row>
    <row r="46" spans="1:6" ht="18">
      <c r="A46" s="13" t="s">
        <v>3</v>
      </c>
      <c r="B46" s="6"/>
      <c r="C46" s="6">
        <v>11</v>
      </c>
      <c r="D46" s="6"/>
      <c r="E46" s="6"/>
      <c r="F46" s="7"/>
    </row>
    <row r="47" spans="1:6" ht="36">
      <c r="A47" s="13" t="s">
        <v>21</v>
      </c>
      <c r="B47" s="6"/>
      <c r="C47" s="6"/>
      <c r="D47" s="6">
        <v>106</v>
      </c>
      <c r="E47" s="6"/>
      <c r="F47" s="7"/>
    </row>
    <row r="48" spans="1:6" ht="18">
      <c r="A48" s="18" t="s">
        <v>31</v>
      </c>
      <c r="B48" s="6"/>
      <c r="C48" s="6"/>
      <c r="D48" s="6">
        <v>39</v>
      </c>
      <c r="E48" s="6"/>
      <c r="F48" s="7"/>
    </row>
    <row r="49" spans="1:6" ht="18">
      <c r="A49" s="18" t="s">
        <v>32</v>
      </c>
      <c r="B49" s="6"/>
      <c r="C49" s="6"/>
      <c r="D49" s="6">
        <v>165</v>
      </c>
      <c r="E49" s="6"/>
      <c r="F49" s="7"/>
    </row>
    <row r="50" spans="1:6" ht="18">
      <c r="A50" s="18" t="s">
        <v>33</v>
      </c>
      <c r="B50" s="6"/>
      <c r="C50" s="6"/>
      <c r="D50" s="6">
        <v>75</v>
      </c>
      <c r="E50" s="6"/>
      <c r="F50" s="7"/>
    </row>
    <row r="51" spans="1:6" ht="18">
      <c r="A51" s="13" t="s">
        <v>4</v>
      </c>
      <c r="B51" s="6"/>
      <c r="C51" s="14">
        <v>388</v>
      </c>
      <c r="D51" s="6"/>
      <c r="E51" s="6"/>
      <c r="F51" s="7"/>
    </row>
    <row r="52" spans="1:6" ht="18">
      <c r="A52" s="13" t="s">
        <v>20</v>
      </c>
      <c r="B52" s="6"/>
      <c r="C52" s="14"/>
      <c r="D52" s="6">
        <v>150</v>
      </c>
      <c r="E52" s="6">
        <v>-150</v>
      </c>
      <c r="F52" s="7"/>
    </row>
    <row r="53" spans="1:6" ht="18">
      <c r="A53" s="13" t="s">
        <v>44</v>
      </c>
      <c r="B53" s="6"/>
      <c r="C53" s="14"/>
      <c r="D53" s="6">
        <v>60</v>
      </c>
      <c r="E53" s="6"/>
      <c r="F53" s="7"/>
    </row>
    <row r="54" spans="1:6" ht="18">
      <c r="A54" s="13" t="s">
        <v>5</v>
      </c>
      <c r="B54" s="6"/>
      <c r="C54" s="6">
        <f>10788-12609+4711</f>
        <v>2890</v>
      </c>
      <c r="D54" s="6"/>
      <c r="E54" s="6"/>
      <c r="F54" s="7"/>
    </row>
    <row r="55" spans="1:6" ht="18">
      <c r="A55" s="18" t="s">
        <v>42</v>
      </c>
      <c r="B55" s="6"/>
      <c r="C55" s="6"/>
      <c r="D55" s="6">
        <v>50</v>
      </c>
      <c r="E55" s="6"/>
      <c r="F55" s="7"/>
    </row>
    <row r="56" spans="1:6" ht="18">
      <c r="A56" s="18" t="s">
        <v>43</v>
      </c>
      <c r="B56" s="6"/>
      <c r="C56" s="6"/>
      <c r="D56" s="6">
        <v>75</v>
      </c>
      <c r="E56" s="6"/>
      <c r="F56" s="7"/>
    </row>
    <row r="57" spans="1:6" ht="18">
      <c r="A57" s="18"/>
      <c r="B57" s="6"/>
      <c r="C57" s="7">
        <f>SUM(C45:C54)</f>
        <v>3289</v>
      </c>
      <c r="D57" s="7">
        <f>SUM(D45:D56)</f>
        <v>720</v>
      </c>
      <c r="E57" s="7">
        <f>SUM(E45:E56)</f>
        <v>-150</v>
      </c>
      <c r="F57" s="7" t="s">
        <v>41</v>
      </c>
    </row>
    <row r="58" spans="1:6" ht="18">
      <c r="A58" s="13"/>
      <c r="B58" s="6"/>
      <c r="C58" s="21"/>
      <c r="D58" s="21"/>
      <c r="E58" s="21"/>
      <c r="F58" s="7"/>
    </row>
    <row r="59" spans="1:6" ht="18">
      <c r="A59" s="20" t="s">
        <v>37</v>
      </c>
      <c r="B59" s="6"/>
      <c r="C59" s="14"/>
      <c r="D59" s="6"/>
      <c r="E59" s="6"/>
      <c r="F59" s="7"/>
    </row>
    <row r="60" spans="1:6" ht="18">
      <c r="A60" s="13" t="s">
        <v>7</v>
      </c>
      <c r="B60" s="6"/>
      <c r="C60" s="14">
        <v>411</v>
      </c>
      <c r="D60" s="6"/>
      <c r="E60" s="6"/>
      <c r="F60" s="7"/>
    </row>
    <row r="61" spans="1:6" ht="18">
      <c r="A61" s="13" t="s">
        <v>8</v>
      </c>
      <c r="B61" s="6"/>
      <c r="C61" s="14">
        <v>-147</v>
      </c>
      <c r="D61" s="6"/>
      <c r="E61" s="6"/>
      <c r="F61" s="7"/>
    </row>
    <row r="62" spans="1:6" ht="18">
      <c r="A62" s="13" t="s">
        <v>19</v>
      </c>
      <c r="B62" s="6"/>
      <c r="C62" s="14"/>
      <c r="D62" s="6">
        <v>200</v>
      </c>
      <c r="E62" s="6"/>
      <c r="F62" s="7"/>
    </row>
    <row r="63" spans="1:6" ht="18">
      <c r="A63" s="13" t="s">
        <v>25</v>
      </c>
      <c r="B63" s="6"/>
      <c r="C63" s="14"/>
      <c r="D63" s="6">
        <v>1500</v>
      </c>
      <c r="E63" s="6"/>
      <c r="F63" s="7"/>
    </row>
    <row r="64" spans="1:6" ht="18">
      <c r="A64" s="13" t="s">
        <v>77</v>
      </c>
      <c r="B64" s="6"/>
      <c r="C64" s="14"/>
      <c r="D64" s="6"/>
      <c r="E64" s="6">
        <v>-194</v>
      </c>
      <c r="F64" s="7"/>
    </row>
    <row r="65" spans="1:6" ht="18">
      <c r="A65" s="13" t="s">
        <v>76</v>
      </c>
      <c r="B65" s="6"/>
      <c r="C65" s="14"/>
      <c r="D65" s="6"/>
      <c r="E65" s="6">
        <f>-58+776</f>
        <v>718</v>
      </c>
      <c r="F65" s="7"/>
    </row>
    <row r="66" spans="1:6" ht="18">
      <c r="A66" s="13" t="s">
        <v>24</v>
      </c>
      <c r="B66" s="6"/>
      <c r="C66" s="14"/>
      <c r="D66" s="6">
        <v>194</v>
      </c>
      <c r="E66" s="6">
        <v>-194</v>
      </c>
      <c r="F66" s="7"/>
    </row>
    <row r="67" spans="1:6" ht="18">
      <c r="A67" s="13"/>
      <c r="B67" s="6"/>
      <c r="C67" s="14"/>
      <c r="D67" s="6"/>
      <c r="E67" s="6"/>
      <c r="F67" s="7"/>
    </row>
    <row r="68" spans="1:6" ht="18">
      <c r="A68" s="13"/>
      <c r="B68" s="6"/>
      <c r="C68" s="21">
        <f>SUM(C60:C67)</f>
        <v>264</v>
      </c>
      <c r="D68" s="21">
        <f>SUM(D60:D67)</f>
        <v>1894</v>
      </c>
      <c r="E68" s="21">
        <f>SUM(E60:E67)</f>
        <v>330</v>
      </c>
      <c r="F68" s="7"/>
    </row>
    <row r="69" spans="1:6" ht="18">
      <c r="A69" s="22"/>
      <c r="B69" s="6"/>
      <c r="C69" s="6"/>
      <c r="D69" s="6"/>
      <c r="E69" s="6"/>
      <c r="F69" s="7"/>
    </row>
    <row r="70" spans="1:6" ht="18">
      <c r="A70" s="20" t="s">
        <v>9</v>
      </c>
      <c r="B70" s="6"/>
      <c r="C70" s="23">
        <f>C18+C25+C33+C42+C57+C68</f>
        <v>16130</v>
      </c>
      <c r="D70" s="23">
        <f>D18+D25+D33+D42+D57+D68</f>
        <v>4579</v>
      </c>
      <c r="E70" s="23">
        <f>E18+E25+E33+E42+E57+E68</f>
        <v>180</v>
      </c>
      <c r="F70" s="7"/>
    </row>
    <row r="71" spans="1:6" ht="18">
      <c r="A71" s="22"/>
      <c r="B71" s="6"/>
      <c r="C71" s="14"/>
      <c r="D71" s="14"/>
      <c r="E71" s="14"/>
      <c r="F71" s="7"/>
    </row>
    <row r="72" spans="1:6" ht="18.75" thickBot="1">
      <c r="A72" s="15" t="s">
        <v>10</v>
      </c>
      <c r="B72" s="7"/>
      <c r="C72" s="24">
        <f>C12-C70</f>
        <v>4759</v>
      </c>
      <c r="D72" s="24">
        <f>D12-D70</f>
        <v>180</v>
      </c>
      <c r="E72" s="24">
        <f>E12-E70</f>
        <v>0</v>
      </c>
      <c r="F72" s="7"/>
    </row>
    <row r="73" spans="1:6" ht="18.75" thickTop="1">
      <c r="A73" s="8"/>
      <c r="B73" s="6"/>
      <c r="C73" s="6"/>
      <c r="D73" s="6"/>
      <c r="E73" s="6"/>
      <c r="F73" s="7"/>
    </row>
    <row r="74" spans="1:5" ht="18">
      <c r="A74" s="20" t="s">
        <v>71</v>
      </c>
      <c r="C74" s="21">
        <v>10788</v>
      </c>
      <c r="D74" s="21">
        <v>10788</v>
      </c>
      <c r="E74" s="21">
        <v>10788</v>
      </c>
    </row>
    <row r="75" spans="1:4" ht="18">
      <c r="A75" s="20"/>
      <c r="C75" s="21"/>
      <c r="D75" s="21"/>
    </row>
    <row r="76" spans="1:5" ht="18">
      <c r="A76" s="13" t="s">
        <v>73</v>
      </c>
      <c r="C76" s="6"/>
      <c r="D76" s="6"/>
      <c r="E76" s="6">
        <v>-1624</v>
      </c>
    </row>
    <row r="77" spans="1:5" ht="18">
      <c r="A77" s="13" t="s">
        <v>74</v>
      </c>
      <c r="C77" s="6"/>
      <c r="D77" s="6"/>
      <c r="E77" s="6">
        <v>-473</v>
      </c>
    </row>
    <row r="78" spans="1:5" ht="18">
      <c r="A78" s="13" t="s">
        <v>75</v>
      </c>
      <c r="C78" s="6"/>
      <c r="D78" s="6"/>
      <c r="E78" s="6">
        <v>-1000</v>
      </c>
    </row>
    <row r="79" spans="1:5" ht="18">
      <c r="A79" s="13" t="s">
        <v>34</v>
      </c>
      <c r="C79" s="6"/>
      <c r="D79" s="6"/>
      <c r="E79" s="6">
        <v>-1000</v>
      </c>
    </row>
    <row r="80" spans="1:5" ht="18">
      <c r="A80" s="13" t="s">
        <v>80</v>
      </c>
      <c r="C80" s="6"/>
      <c r="D80" s="6"/>
      <c r="E80" s="6">
        <v>-6691</v>
      </c>
    </row>
    <row r="81" spans="1:5" ht="18">
      <c r="A81" s="13"/>
      <c r="C81" s="6"/>
      <c r="D81" s="6"/>
      <c r="E81" s="6"/>
    </row>
    <row r="82" spans="1:5" ht="18">
      <c r="A82" s="13" t="s">
        <v>81</v>
      </c>
      <c r="C82" s="6">
        <f>SUM(C76:C81)</f>
        <v>0</v>
      </c>
      <c r="D82" s="6">
        <f>SUM(D76:D81)</f>
        <v>0</v>
      </c>
      <c r="E82" s="6">
        <f>SUM(E76:E81)</f>
        <v>-10788</v>
      </c>
    </row>
    <row r="83" spans="1:5" ht="18">
      <c r="A83" s="13"/>
      <c r="C83" s="6"/>
      <c r="D83" s="6"/>
      <c r="E83" s="6"/>
    </row>
    <row r="84" spans="1:5" ht="18">
      <c r="A84" s="13" t="s">
        <v>82</v>
      </c>
      <c r="C84" s="6">
        <f>C74+C82</f>
        <v>10788</v>
      </c>
      <c r="D84" s="6">
        <f>D74+D82</f>
        <v>10788</v>
      </c>
      <c r="E84" s="6">
        <f>E74+E82</f>
        <v>0</v>
      </c>
    </row>
    <row r="85" spans="1:3" ht="18">
      <c r="A85" s="20"/>
      <c r="C85" s="21"/>
    </row>
    <row r="86" spans="1:5" ht="18.75" thickBot="1">
      <c r="A86" s="20" t="s">
        <v>72</v>
      </c>
      <c r="C86" s="24">
        <f>C82+C74</f>
        <v>10788</v>
      </c>
      <c r="D86" s="24">
        <f>D82+D74</f>
        <v>10788</v>
      </c>
      <c r="E86" s="24">
        <f>E72+E84</f>
        <v>0</v>
      </c>
    </row>
    <row r="87" spans="1:3" ht="18.75" thickTop="1">
      <c r="A87" s="20"/>
      <c r="C87" s="21"/>
    </row>
    <row r="88" spans="1:3" ht="18">
      <c r="A88" s="20"/>
      <c r="C88" s="21"/>
    </row>
  </sheetData>
  <printOptions/>
  <pageMargins left="0.73" right="0.3" top="0.53" bottom="0.55" header="0.5" footer="0.5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12"/>
  <sheetViews>
    <sheetView tabSelected="1" workbookViewId="0" topLeftCell="A1">
      <selection activeCell="A60" sqref="A60"/>
    </sheetView>
  </sheetViews>
  <sheetFormatPr defaultColWidth="9.140625" defaultRowHeight="12.75"/>
  <cols>
    <col min="1" max="1" width="48.28125" style="25" customWidth="1"/>
    <col min="2" max="2" width="4.7109375" style="26" customWidth="1"/>
    <col min="3" max="3" width="13.28125" style="26" customWidth="1"/>
    <col min="4" max="4" width="12.7109375" style="26" customWidth="1"/>
    <col min="5" max="5" width="12.00390625" style="26" customWidth="1"/>
    <col min="6" max="6" width="11.57421875" style="26" customWidth="1"/>
    <col min="7" max="7" width="10.8515625" style="26" customWidth="1"/>
    <col min="8" max="16384" width="5.7109375" style="26" customWidth="1"/>
  </cols>
  <sheetData>
    <row r="4" spans="3:7" ht="15">
      <c r="C4" s="27" t="s">
        <v>45</v>
      </c>
      <c r="D4" s="28" t="s">
        <v>0</v>
      </c>
      <c r="E4" s="28" t="s">
        <v>46</v>
      </c>
      <c r="F4" s="28" t="s">
        <v>47</v>
      </c>
      <c r="G4" s="28" t="s">
        <v>48</v>
      </c>
    </row>
    <row r="5" spans="3:7" ht="15">
      <c r="C5" s="28" t="s">
        <v>1</v>
      </c>
      <c r="D5" s="28" t="s">
        <v>1</v>
      </c>
      <c r="E5" s="28" t="s">
        <v>1</v>
      </c>
      <c r="F5" s="28" t="s">
        <v>1</v>
      </c>
      <c r="G5" s="28" t="s">
        <v>1</v>
      </c>
    </row>
    <row r="6" spans="1:2" ht="15">
      <c r="A6" s="29" t="s">
        <v>49</v>
      </c>
      <c r="B6" s="30"/>
    </row>
    <row r="8" spans="1:7" ht="14.25" customHeight="1">
      <c r="A8" s="25" t="s">
        <v>3</v>
      </c>
      <c r="C8" s="26">
        <v>44538</v>
      </c>
      <c r="D8" s="26">
        <v>48902</v>
      </c>
      <c r="E8" s="26">
        <f>49664-809</f>
        <v>48855</v>
      </c>
      <c r="F8" s="26">
        <v>49310</v>
      </c>
      <c r="G8" s="26">
        <v>49781</v>
      </c>
    </row>
    <row r="9" spans="1:7" ht="14.25">
      <c r="A9" s="25" t="s">
        <v>4</v>
      </c>
      <c r="C9" s="26">
        <v>45215</v>
      </c>
      <c r="D9" s="26">
        <v>46929</v>
      </c>
      <c r="E9" s="26">
        <v>47730</v>
      </c>
      <c r="F9" s="26">
        <v>47971</v>
      </c>
      <c r="G9" s="26">
        <v>48225</v>
      </c>
    </row>
    <row r="10" ht="14.25">
      <c r="A10" s="25" t="s">
        <v>5</v>
      </c>
    </row>
    <row r="11" spans="1:7" ht="14.25">
      <c r="A11" s="31" t="s">
        <v>50</v>
      </c>
      <c r="C11" s="26">
        <v>18172</v>
      </c>
      <c r="D11" s="26">
        <f>17939-52</f>
        <v>17887</v>
      </c>
      <c r="E11" s="26">
        <f>18193-182-52</f>
        <v>17959</v>
      </c>
      <c r="F11" s="26">
        <f>17942-52</f>
        <v>17890</v>
      </c>
      <c r="G11" s="26">
        <f>18103-52</f>
        <v>18051</v>
      </c>
    </row>
    <row r="12" spans="1:7" ht="14.25">
      <c r="A12" s="31" t="s">
        <v>51</v>
      </c>
      <c r="C12" s="26">
        <v>70601</v>
      </c>
      <c r="D12" s="26">
        <v>75063</v>
      </c>
      <c r="E12" s="26">
        <v>75263</v>
      </c>
      <c r="F12" s="26">
        <v>75365</v>
      </c>
      <c r="G12" s="26">
        <v>75476</v>
      </c>
    </row>
    <row r="13" spans="1:7" ht="14.25">
      <c r="A13" s="25" t="s">
        <v>2</v>
      </c>
      <c r="C13" s="26">
        <v>20391</v>
      </c>
      <c r="D13" s="26">
        <v>21664</v>
      </c>
      <c r="E13" s="26">
        <f>19543-153</f>
        <v>19390</v>
      </c>
      <c r="F13" s="26">
        <v>19270</v>
      </c>
      <c r="G13" s="26">
        <v>19170</v>
      </c>
    </row>
    <row r="14" spans="1:7" ht="15">
      <c r="A14" s="29" t="s">
        <v>52</v>
      </c>
      <c r="C14" s="32">
        <f>SUM(C7:C13)</f>
        <v>198917</v>
      </c>
      <c r="D14" s="32">
        <f>SUM(D7:D13)</f>
        <v>210445</v>
      </c>
      <c r="E14" s="32">
        <f>SUM(E7:E13)</f>
        <v>209197</v>
      </c>
      <c r="F14" s="32">
        <f>SUM(F7:F13)</f>
        <v>209806</v>
      </c>
      <c r="G14" s="32">
        <f>SUM(G7:G13)</f>
        <v>210703</v>
      </c>
    </row>
    <row r="15" spans="1:6" ht="15">
      <c r="A15" s="29"/>
      <c r="C15" s="33"/>
      <c r="D15" s="33"/>
      <c r="E15" s="33"/>
      <c r="F15" s="33"/>
    </row>
    <row r="16" spans="1:7" ht="15">
      <c r="A16" s="29"/>
      <c r="C16" s="33"/>
      <c r="D16" s="33"/>
      <c r="E16" s="33"/>
      <c r="F16" s="33"/>
      <c r="G16" s="33"/>
    </row>
    <row r="17" spans="1:7" ht="15">
      <c r="A17" s="29" t="s">
        <v>94</v>
      </c>
      <c r="C17" s="33"/>
      <c r="D17" s="33"/>
      <c r="E17" s="33"/>
      <c r="F17" s="33"/>
      <c r="G17" s="33"/>
    </row>
    <row r="18" spans="1:7" ht="15">
      <c r="A18" s="25" t="s">
        <v>95</v>
      </c>
      <c r="C18" s="33"/>
      <c r="D18" s="34">
        <v>0</v>
      </c>
      <c r="E18" s="34">
        <f>1392+50</f>
        <v>1442</v>
      </c>
      <c r="F18" s="34">
        <v>2287</v>
      </c>
      <c r="G18" s="34">
        <v>2307</v>
      </c>
    </row>
    <row r="19" spans="1:7" ht="15">
      <c r="A19" s="25" t="s">
        <v>79</v>
      </c>
      <c r="C19" s="33"/>
      <c r="D19" s="34">
        <v>0</v>
      </c>
      <c r="E19" s="34">
        <v>3356</v>
      </c>
      <c r="F19" s="34">
        <v>6721</v>
      </c>
      <c r="G19" s="34">
        <f>3356+3365</f>
        <v>6721</v>
      </c>
    </row>
    <row r="20" spans="1:7" ht="15">
      <c r="A20" s="25" t="s">
        <v>96</v>
      </c>
      <c r="C20" s="33"/>
      <c r="D20" s="34">
        <v>0</v>
      </c>
      <c r="E20" s="34">
        <f>3445-35-7-105-300</f>
        <v>2998</v>
      </c>
      <c r="F20" s="34">
        <v>6138</v>
      </c>
      <c r="G20" s="34">
        <v>9282</v>
      </c>
    </row>
    <row r="21" spans="1:7" ht="14.25">
      <c r="A21" s="25" t="s">
        <v>85</v>
      </c>
      <c r="D21" s="26">
        <v>0</v>
      </c>
      <c r="E21" s="26">
        <v>1000</v>
      </c>
      <c r="F21" s="26">
        <v>2000</v>
      </c>
      <c r="G21" s="26">
        <v>3000</v>
      </c>
    </row>
    <row r="22" spans="1:7" ht="15">
      <c r="A22" s="25" t="s">
        <v>98</v>
      </c>
      <c r="C22" s="33"/>
      <c r="D22" s="34">
        <v>0</v>
      </c>
      <c r="E22" s="34">
        <v>700</v>
      </c>
      <c r="F22" s="34">
        <v>700</v>
      </c>
      <c r="G22" s="34">
        <v>700</v>
      </c>
    </row>
    <row r="23" spans="3:7" ht="15">
      <c r="C23" s="33"/>
      <c r="D23" s="34"/>
      <c r="E23" s="34"/>
      <c r="F23" s="34"/>
      <c r="G23" s="34"/>
    </row>
    <row r="24" spans="1:7" ht="15">
      <c r="A24" s="29"/>
      <c r="C24" s="33"/>
      <c r="D24" s="33">
        <f>SUM(D18:D23)</f>
        <v>0</v>
      </c>
      <c r="E24" s="33">
        <f>SUM(E18:E23)</f>
        <v>9496</v>
      </c>
      <c r="F24" s="33">
        <f>SUM(F18:F23)</f>
        <v>17846</v>
      </c>
      <c r="G24" s="33">
        <f>SUM(G18:G23)</f>
        <v>22010</v>
      </c>
    </row>
    <row r="25" spans="3:6" ht="14.25">
      <c r="C25" s="34"/>
      <c r="D25" s="34"/>
      <c r="E25" s="34"/>
      <c r="F25" s="34"/>
    </row>
    <row r="26" spans="1:2" ht="15">
      <c r="A26" s="29" t="s">
        <v>54</v>
      </c>
      <c r="B26" s="30"/>
    </row>
    <row r="27" spans="1:7" ht="14.25">
      <c r="A27" s="25" t="s">
        <v>53</v>
      </c>
      <c r="C27" s="34">
        <f>36241-90-450</f>
        <v>35701</v>
      </c>
      <c r="D27" s="34">
        <f>34017+52</f>
        <v>34069</v>
      </c>
      <c r="E27" s="34">
        <f>43172+52-137</f>
        <v>43087</v>
      </c>
      <c r="F27" s="34">
        <f>46642+52-137</f>
        <v>46557</v>
      </c>
      <c r="G27" s="26">
        <f>49942+52-137</f>
        <v>49857</v>
      </c>
    </row>
    <row r="28" spans="1:7" ht="14.25">
      <c r="A28" s="25" t="s">
        <v>55</v>
      </c>
      <c r="C28" s="34">
        <v>859</v>
      </c>
      <c r="D28" s="34">
        <v>0</v>
      </c>
      <c r="E28" s="34">
        <v>0</v>
      </c>
      <c r="F28" s="34">
        <v>0</v>
      </c>
      <c r="G28" s="26">
        <v>0</v>
      </c>
    </row>
    <row r="29" spans="1:7" ht="14.25">
      <c r="A29" s="25" t="s">
        <v>97</v>
      </c>
      <c r="C29" s="34">
        <v>36</v>
      </c>
      <c r="D29" s="34">
        <v>-1624</v>
      </c>
      <c r="E29" s="34">
        <v>0</v>
      </c>
      <c r="F29" s="34">
        <v>0</v>
      </c>
      <c r="G29" s="26">
        <v>0</v>
      </c>
    </row>
    <row r="30" spans="1:7" ht="15">
      <c r="A30" s="29" t="s">
        <v>92</v>
      </c>
      <c r="B30" s="30"/>
      <c r="C30" s="32">
        <f>SUM(C27:C29)</f>
        <v>36596</v>
      </c>
      <c r="D30" s="32">
        <f>SUM(D27:D29)</f>
        <v>32445</v>
      </c>
      <c r="E30" s="32">
        <f>SUM(E27:E29)</f>
        <v>43087</v>
      </c>
      <c r="F30" s="32">
        <f>SUM(F27:F29)</f>
        <v>46557</v>
      </c>
      <c r="G30" s="32">
        <f>SUM(G27:G29)</f>
        <v>49857</v>
      </c>
    </row>
    <row r="31" spans="1:6" ht="15">
      <c r="A31" s="29"/>
      <c r="B31" s="30"/>
      <c r="C31" s="33"/>
      <c r="D31" s="33"/>
      <c r="E31" s="33"/>
      <c r="F31" s="33"/>
    </row>
    <row r="32" spans="3:6" ht="14.25">
      <c r="C32" s="34"/>
      <c r="D32" s="34"/>
      <c r="E32" s="34"/>
      <c r="F32" s="34"/>
    </row>
    <row r="33" spans="1:7" ht="15.75" thickBot="1">
      <c r="A33" s="29" t="s">
        <v>56</v>
      </c>
      <c r="B33" s="30"/>
      <c r="C33" s="35">
        <f>C14+C24+C30</f>
        <v>235513</v>
      </c>
      <c r="D33" s="35">
        <f>D14+D24+D30</f>
        <v>242890</v>
      </c>
      <c r="E33" s="35">
        <f>E14+E24+E30</f>
        <v>261780</v>
      </c>
      <c r="F33" s="35">
        <f>F14+F24+F30</f>
        <v>274209</v>
      </c>
      <c r="G33" s="35">
        <f>G14+G24+G30</f>
        <v>282570</v>
      </c>
    </row>
    <row r="34" spans="1:7" ht="15.75" thickTop="1">
      <c r="A34" s="36"/>
      <c r="B34" s="37"/>
      <c r="C34" s="33"/>
      <c r="D34" s="33"/>
      <c r="E34" s="34"/>
      <c r="F34" s="34"/>
      <c r="G34" s="34"/>
    </row>
    <row r="35" spans="1:7" ht="15">
      <c r="A35" s="36" t="s">
        <v>57</v>
      </c>
      <c r="B35" s="37"/>
      <c r="C35" s="38">
        <v>1178</v>
      </c>
      <c r="D35" s="38">
        <v>1151</v>
      </c>
      <c r="E35" s="38">
        <v>1151</v>
      </c>
      <c r="F35" s="38">
        <v>1151</v>
      </c>
      <c r="G35" s="38">
        <v>1151</v>
      </c>
    </row>
    <row r="36" spans="1:7" ht="15">
      <c r="A36" s="36"/>
      <c r="B36" s="37"/>
      <c r="C36" s="34"/>
      <c r="D36" s="34"/>
      <c r="E36" s="34"/>
      <c r="F36" s="34"/>
      <c r="G36" s="34"/>
    </row>
    <row r="37" spans="1:7" ht="15.75" thickBot="1">
      <c r="A37" s="36" t="s">
        <v>58</v>
      </c>
      <c r="B37" s="37"/>
      <c r="C37" s="39">
        <f>C33+C35</f>
        <v>236691</v>
      </c>
      <c r="D37" s="39">
        <f>D33+D35</f>
        <v>244041</v>
      </c>
      <c r="E37" s="39">
        <f>E33+E35</f>
        <v>262931</v>
      </c>
      <c r="F37" s="39">
        <f>F33+F35</f>
        <v>275360</v>
      </c>
      <c r="G37" s="39">
        <f>G33+G35</f>
        <v>283721</v>
      </c>
    </row>
    <row r="38" spans="1:7" ht="15.75" thickTop="1">
      <c r="A38" s="36"/>
      <c r="B38" s="37"/>
      <c r="C38" s="40"/>
      <c r="D38" s="40"/>
      <c r="E38" s="40"/>
      <c r="F38" s="40"/>
      <c r="G38" s="34"/>
    </row>
    <row r="39" spans="1:7" ht="30">
      <c r="A39" s="36" t="s">
        <v>87</v>
      </c>
      <c r="B39" s="37"/>
      <c r="C39" s="40"/>
      <c r="D39" s="40"/>
      <c r="E39" s="40"/>
      <c r="F39" s="40"/>
      <c r="G39" s="34"/>
    </row>
    <row r="40" spans="1:7" ht="43.5">
      <c r="A40" s="41" t="s">
        <v>93</v>
      </c>
      <c r="B40" s="37"/>
      <c r="C40" s="40"/>
      <c r="D40" s="40">
        <v>0</v>
      </c>
      <c r="E40" s="40">
        <f>-13807+137-755</f>
        <v>-14425</v>
      </c>
      <c r="F40" s="40">
        <f>-20642+137-1785</f>
        <v>-22290</v>
      </c>
      <c r="G40" s="33">
        <f>-24336+137-1785</f>
        <v>-25984</v>
      </c>
    </row>
    <row r="41" spans="1:9" ht="43.5">
      <c r="A41" s="41" t="s">
        <v>86</v>
      </c>
      <c r="B41" s="37"/>
      <c r="C41" s="40"/>
      <c r="D41" s="40">
        <v>0</v>
      </c>
      <c r="E41" s="40">
        <f>-9098+137-755</f>
        <v>-9716</v>
      </c>
      <c r="F41" s="40">
        <f>-10915+137-1785</f>
        <v>-12563</v>
      </c>
      <c r="G41" s="40">
        <f>-9267+137-1785</f>
        <v>-10915</v>
      </c>
      <c r="H41" s="40"/>
      <c r="I41" s="40"/>
    </row>
    <row r="42" spans="1:7" ht="15">
      <c r="A42" s="41"/>
      <c r="B42" s="37"/>
      <c r="C42" s="40"/>
      <c r="D42" s="40"/>
      <c r="E42" s="40"/>
      <c r="F42" s="40"/>
      <c r="G42" s="34"/>
    </row>
    <row r="43" spans="1:7" ht="15" hidden="1">
      <c r="A43" s="36"/>
      <c r="B43" s="37"/>
      <c r="C43" s="40"/>
      <c r="D43" s="40"/>
      <c r="E43" s="40"/>
      <c r="F43" s="40"/>
      <c r="G43" s="34"/>
    </row>
    <row r="44" spans="1:7" ht="15" hidden="1">
      <c r="A44" s="36" t="s">
        <v>59</v>
      </c>
      <c r="B44" s="37"/>
      <c r="C44" s="40">
        <f>+C37+C41</f>
        <v>236691</v>
      </c>
      <c r="D44" s="40">
        <f>+D37+D41</f>
        <v>244041</v>
      </c>
      <c r="E44" s="40">
        <f>+E37+E41</f>
        <v>253215</v>
      </c>
      <c r="F44" s="40">
        <f>+F37+F41</f>
        <v>262797</v>
      </c>
      <c r="G44" s="40">
        <f>+G37+G41</f>
        <v>272806</v>
      </c>
    </row>
    <row r="45" spans="1:7" ht="15" hidden="1">
      <c r="A45" s="41"/>
      <c r="B45" s="37"/>
      <c r="C45" s="40"/>
      <c r="D45" s="40"/>
      <c r="E45" s="40"/>
      <c r="F45" s="40"/>
      <c r="G45" s="34"/>
    </row>
    <row r="46" spans="1:7" ht="15.75" hidden="1" thickBot="1">
      <c r="A46" s="42" t="s">
        <v>60</v>
      </c>
      <c r="B46" s="43"/>
      <c r="C46" s="43"/>
      <c r="D46" s="44">
        <f>(D44-C44)/C44</f>
        <v>0.03105314523999645</v>
      </c>
      <c r="E46" s="44">
        <f>(E44-D44)/D44</f>
        <v>0.037592043959826425</v>
      </c>
      <c r="F46" s="44">
        <f>(F44-E44)/E44</f>
        <v>0.03784136010899828</v>
      </c>
      <c r="G46" s="44">
        <f>(G44-F44)/F44</f>
        <v>0.03808643173247792</v>
      </c>
    </row>
    <row r="47" spans="1:7" ht="15" hidden="1">
      <c r="A47" s="29"/>
      <c r="B47" s="33"/>
      <c r="C47" s="34"/>
      <c r="D47" s="34"/>
      <c r="F47" s="34"/>
      <c r="G47" s="34"/>
    </row>
    <row r="48" spans="1:7" ht="15">
      <c r="A48" s="29" t="s">
        <v>61</v>
      </c>
      <c r="B48" s="30"/>
      <c r="C48" s="45"/>
      <c r="D48" s="45"/>
      <c r="E48" s="45"/>
      <c r="G48" s="34"/>
    </row>
    <row r="49" spans="2:7" ht="15">
      <c r="B49" s="30"/>
      <c r="C49" s="46"/>
      <c r="D49" s="46"/>
      <c r="E49" s="46"/>
      <c r="F49" s="46"/>
      <c r="G49" s="34"/>
    </row>
    <row r="50" spans="1:7" ht="29.25">
      <c r="A50" s="47" t="s">
        <v>99</v>
      </c>
      <c r="B50" s="30"/>
      <c r="C50" s="46">
        <f>147369-35</f>
        <v>147334</v>
      </c>
      <c r="D50" s="46">
        <v>150556</v>
      </c>
      <c r="E50" s="46">
        <f>+D$50*1.025</f>
        <v>154319.9</v>
      </c>
      <c r="F50" s="46">
        <f>+E$50*1.025</f>
        <v>158177.8975</v>
      </c>
      <c r="G50" s="46">
        <f>+F$50*1.025</f>
        <v>162132.3449375</v>
      </c>
    </row>
    <row r="51" spans="1:7" ht="15">
      <c r="A51" s="47"/>
      <c r="B51" s="30"/>
      <c r="C51" s="46"/>
      <c r="D51" s="46"/>
      <c r="E51" s="46"/>
      <c r="F51" s="46"/>
      <c r="G51" s="46"/>
    </row>
    <row r="52" spans="1:7" ht="15">
      <c r="A52" s="47"/>
      <c r="B52" s="30"/>
      <c r="C52" s="46"/>
      <c r="D52" s="46"/>
      <c r="E52" s="46"/>
      <c r="F52" s="46"/>
      <c r="G52" s="46"/>
    </row>
    <row r="53" spans="1:7" ht="15">
      <c r="A53" s="47"/>
      <c r="B53" s="30"/>
      <c r="C53" s="46"/>
      <c r="D53" s="46"/>
      <c r="E53" s="46"/>
      <c r="F53" s="46"/>
      <c r="G53" s="46"/>
    </row>
    <row r="54" spans="1:7" ht="15">
      <c r="A54" s="47"/>
      <c r="B54" s="30"/>
      <c r="C54" s="46"/>
      <c r="D54" s="46"/>
      <c r="E54" s="46"/>
      <c r="F54" s="46"/>
      <c r="G54" s="46"/>
    </row>
    <row r="55" spans="1:7" ht="15.75" thickBot="1">
      <c r="A55" s="48"/>
      <c r="B55" s="49"/>
      <c r="C55" s="50"/>
      <c r="D55" s="44"/>
      <c r="E55" s="44"/>
      <c r="F55" s="44"/>
      <c r="G55" s="44"/>
    </row>
    <row r="56" spans="1:7" ht="15.75" thickTop="1">
      <c r="A56" s="51"/>
      <c r="B56" s="33"/>
      <c r="C56" s="52"/>
      <c r="D56" s="45"/>
      <c r="E56" s="45"/>
      <c r="F56" s="45"/>
      <c r="G56" s="45"/>
    </row>
    <row r="57" spans="1:7" ht="15">
      <c r="A57" s="51"/>
      <c r="B57" s="33"/>
      <c r="C57" s="52"/>
      <c r="D57" s="45"/>
      <c r="E57" s="45"/>
      <c r="F57" s="45"/>
      <c r="G57" s="45"/>
    </row>
    <row r="58" spans="1:7" ht="15">
      <c r="A58" s="51"/>
      <c r="B58" s="33"/>
      <c r="C58" s="52"/>
      <c r="D58" s="45"/>
      <c r="E58" s="45"/>
      <c r="F58" s="45"/>
      <c r="G58" s="45"/>
    </row>
    <row r="59" spans="1:7" ht="15">
      <c r="A59" s="51"/>
      <c r="B59" s="33"/>
      <c r="C59" s="52"/>
      <c r="D59" s="45"/>
      <c r="E59" s="45"/>
      <c r="F59" s="45"/>
      <c r="G59" s="45"/>
    </row>
    <row r="60" spans="1:7" ht="15">
      <c r="A60" s="51"/>
      <c r="B60" s="33"/>
      <c r="C60" s="52"/>
      <c r="D60" s="45"/>
      <c r="E60" s="45"/>
      <c r="F60" s="45"/>
      <c r="G60" s="45"/>
    </row>
    <row r="61" spans="1:7" ht="15">
      <c r="A61" s="51"/>
      <c r="B61" s="33"/>
      <c r="C61" s="52"/>
      <c r="D61" s="45"/>
      <c r="E61" s="45"/>
      <c r="F61" s="45"/>
      <c r="G61" s="45"/>
    </row>
    <row r="62" spans="1:7" ht="15">
      <c r="A62" s="51"/>
      <c r="B62" s="33"/>
      <c r="C62" s="52"/>
      <c r="D62" s="45"/>
      <c r="E62" s="45"/>
      <c r="F62" s="45"/>
      <c r="G62" s="45"/>
    </row>
    <row r="63" spans="1:7" ht="15">
      <c r="A63" s="51"/>
      <c r="B63" s="33"/>
      <c r="C63" s="52"/>
      <c r="D63" s="45"/>
      <c r="E63" s="45"/>
      <c r="F63" s="45"/>
      <c r="G63" s="45"/>
    </row>
    <row r="64" spans="1:7" ht="15.75" thickBot="1">
      <c r="A64" s="48"/>
      <c r="B64" s="49"/>
      <c r="C64" s="50"/>
      <c r="D64" s="44"/>
      <c r="E64" s="44"/>
      <c r="F64" s="44"/>
      <c r="G64" s="44"/>
    </row>
    <row r="65" spans="1:7" s="34" customFormat="1" ht="15.75" thickTop="1">
      <c r="A65" s="51"/>
      <c r="B65" s="33"/>
      <c r="C65" s="52"/>
      <c r="D65" s="45"/>
      <c r="E65" s="45"/>
      <c r="F65" s="45"/>
      <c r="G65" s="45"/>
    </row>
    <row r="66" spans="1:7" ht="30">
      <c r="A66" s="36" t="s">
        <v>88</v>
      </c>
      <c r="B66" s="37"/>
      <c r="C66" s="40"/>
      <c r="D66" s="40"/>
      <c r="E66" s="40"/>
      <c r="F66" s="40"/>
      <c r="G66" s="34"/>
    </row>
    <row r="67" spans="1:7" ht="43.5">
      <c r="A67" s="41" t="s">
        <v>93</v>
      </c>
      <c r="B67" s="37"/>
      <c r="C67" s="40"/>
      <c r="D67" s="40">
        <v>0</v>
      </c>
      <c r="E67" s="40">
        <f>-16065+137-755</f>
        <v>-16683</v>
      </c>
      <c r="F67" s="40">
        <f>-25237+137-1785</f>
        <v>-26885</v>
      </c>
      <c r="G67" s="33">
        <f>-31351+137-1785</f>
        <v>-32999</v>
      </c>
    </row>
    <row r="68" spans="1:7" ht="43.5">
      <c r="A68" s="41" t="s">
        <v>86</v>
      </c>
      <c r="B68" s="37"/>
      <c r="C68" s="40"/>
      <c r="D68" s="40">
        <v>0</v>
      </c>
      <c r="E68" s="40">
        <f>-11356+137-755</f>
        <v>-11974</v>
      </c>
      <c r="F68" s="40">
        <f>-15511+137-1785</f>
        <v>-17159</v>
      </c>
      <c r="G68" s="40">
        <f>-16281+137-1785</f>
        <v>-17929</v>
      </c>
    </row>
    <row r="69" spans="1:7" ht="15">
      <c r="A69" s="41"/>
      <c r="B69" s="37"/>
      <c r="C69" s="40"/>
      <c r="D69" s="40"/>
      <c r="E69" s="40"/>
      <c r="F69" s="40"/>
      <c r="G69" s="34"/>
    </row>
    <row r="70" spans="1:7" ht="15" hidden="1">
      <c r="A70" s="36"/>
      <c r="B70" s="37"/>
      <c r="C70" s="40"/>
      <c r="D70" s="40"/>
      <c r="E70" s="40"/>
      <c r="F70" s="40"/>
      <c r="G70" s="34"/>
    </row>
    <row r="71" spans="1:7" ht="15" hidden="1">
      <c r="A71" s="36" t="s">
        <v>59</v>
      </c>
      <c r="B71" s="37"/>
      <c r="C71" s="40">
        <f>C44+C68</f>
        <v>236691</v>
      </c>
      <c r="D71" s="40">
        <f>D44+D68</f>
        <v>244041</v>
      </c>
      <c r="E71" s="40">
        <f>E44+E68</f>
        <v>241241</v>
      </c>
      <c r="F71" s="40">
        <f>F44+F68</f>
        <v>245638</v>
      </c>
      <c r="G71" s="40">
        <f>G44+G68</f>
        <v>254877</v>
      </c>
    </row>
    <row r="72" spans="1:7" ht="15" hidden="1">
      <c r="A72" s="41"/>
      <c r="B72" s="37"/>
      <c r="C72" s="40"/>
      <c r="D72" s="40"/>
      <c r="E72" s="40"/>
      <c r="F72" s="40"/>
      <c r="G72" s="34"/>
    </row>
    <row r="73" spans="1:7" ht="15.75" hidden="1" thickBot="1">
      <c r="A73" s="42"/>
      <c r="B73" s="43"/>
      <c r="C73" s="43"/>
      <c r="D73" s="44"/>
      <c r="E73" s="44"/>
      <c r="F73" s="44"/>
      <c r="G73" s="44"/>
    </row>
    <row r="74" spans="1:7" ht="15.75" hidden="1" thickTop="1">
      <c r="A74" s="29"/>
      <c r="B74" s="33"/>
      <c r="C74" s="34"/>
      <c r="D74" s="34"/>
      <c r="F74" s="34"/>
      <c r="G74" s="34"/>
    </row>
    <row r="75" spans="1:7" ht="15">
      <c r="A75" s="29" t="s">
        <v>61</v>
      </c>
      <c r="B75" s="30"/>
      <c r="C75" s="45"/>
      <c r="D75" s="45"/>
      <c r="E75" s="45"/>
      <c r="G75" s="34"/>
    </row>
    <row r="76" spans="2:7" ht="15">
      <c r="B76" s="30"/>
      <c r="C76" s="46"/>
      <c r="D76" s="46"/>
      <c r="E76" s="46"/>
      <c r="F76" s="46"/>
      <c r="G76" s="34"/>
    </row>
    <row r="77" spans="1:7" ht="18.75" customHeight="1">
      <c r="A77" s="47" t="s">
        <v>90</v>
      </c>
      <c r="B77" s="30"/>
      <c r="C77" s="46">
        <f>147369-35</f>
        <v>147334</v>
      </c>
      <c r="D77" s="46">
        <v>150556</v>
      </c>
      <c r="E77" s="46">
        <f>+D$77*1.01</f>
        <v>152061.56</v>
      </c>
      <c r="F77" s="46">
        <f>+E$77*1.01</f>
        <v>153582.1756</v>
      </c>
      <c r="G77" s="46">
        <f>+F$77*1.01</f>
        <v>155117.99735599998</v>
      </c>
    </row>
    <row r="78" spans="1:7" ht="28.5" customHeight="1">
      <c r="A78" s="47"/>
      <c r="B78" s="30"/>
      <c r="C78" s="46"/>
      <c r="D78" s="46"/>
      <c r="E78" s="46"/>
      <c r="F78" s="46"/>
      <c r="G78" s="46"/>
    </row>
    <row r="79" spans="1:7" ht="15.75" thickBot="1">
      <c r="A79" s="48"/>
      <c r="B79" s="49"/>
      <c r="C79" s="50"/>
      <c r="D79" s="44"/>
      <c r="E79" s="44"/>
      <c r="F79" s="44"/>
      <c r="G79" s="44"/>
    </row>
    <row r="80" spans="1:7" ht="28.5" customHeight="1" thickTop="1">
      <c r="A80" s="29" t="s">
        <v>84</v>
      </c>
      <c r="B80" s="33"/>
      <c r="C80" s="34"/>
      <c r="D80" s="34"/>
      <c r="E80" s="34"/>
      <c r="F80" s="34"/>
      <c r="G80" s="34"/>
    </row>
    <row r="81" spans="1:7" ht="43.5">
      <c r="A81" s="25" t="s">
        <v>89</v>
      </c>
      <c r="B81" s="53"/>
      <c r="C81" s="54">
        <f>((C$44-C$50)*1000)/(94047)</f>
        <v>950.1313173200633</v>
      </c>
      <c r="D81" s="54">
        <f>((D$44-D$50)*1000)/(93900)</f>
        <v>995.580404685836</v>
      </c>
      <c r="E81" s="54">
        <f>((E$44-E$50)*1000)/(93900*1.0075)</f>
        <v>1045.3557847559703</v>
      </c>
      <c r="F81" s="54">
        <f>((F$44-F$50)*1000)/(93900*1.0075*1.0075)</f>
        <v>1097.6282804222747</v>
      </c>
      <c r="G81" s="54">
        <f>((G$44-G$50)*1000)/(93900*1.0075*1.0075*1.0075)</f>
        <v>1152.5067995288994</v>
      </c>
    </row>
    <row r="82" spans="2:7" ht="15">
      <c r="B82" s="53"/>
      <c r="C82" s="54"/>
      <c r="D82" s="54"/>
      <c r="E82" s="54"/>
      <c r="F82" s="54"/>
      <c r="G82" s="34"/>
    </row>
    <row r="83" spans="1:7" ht="15.75" thickBot="1">
      <c r="A83" s="48" t="s">
        <v>62</v>
      </c>
      <c r="B83" s="49"/>
      <c r="C83" s="44"/>
      <c r="D83" s="55">
        <f>(D81-C81)/C81</f>
        <v>0.047834532487536795</v>
      </c>
      <c r="E83" s="55">
        <f>(E81-D81)/D81</f>
        <v>0.04999634367637167</v>
      </c>
      <c r="F83" s="55">
        <f>(F81-E81)/E81</f>
        <v>0.05000450222649026</v>
      </c>
      <c r="G83" s="55">
        <f>(G81-F81)/F81</f>
        <v>0.04999736257297606</v>
      </c>
    </row>
    <row r="84" spans="1:7" ht="15.75" thickTop="1">
      <c r="A84" s="51"/>
      <c r="B84" s="33"/>
      <c r="C84" s="52"/>
      <c r="D84" s="45"/>
      <c r="E84" s="45"/>
      <c r="F84" s="45"/>
      <c r="G84" s="34"/>
    </row>
    <row r="85" spans="1:7" ht="45">
      <c r="A85" s="29" t="s">
        <v>83</v>
      </c>
      <c r="B85" s="33"/>
      <c r="C85" s="34"/>
      <c r="D85" s="34"/>
      <c r="E85" s="34"/>
      <c r="F85" s="34"/>
      <c r="G85" s="34"/>
    </row>
    <row r="86" spans="1:7" ht="42.75">
      <c r="A86" s="25" t="s">
        <v>91</v>
      </c>
      <c r="B86" s="53"/>
      <c r="C86" s="56">
        <f>((C$44-C$50)*1000)/94047</f>
        <v>950.1313173200633</v>
      </c>
      <c r="D86" s="56">
        <f>D81</f>
        <v>995.580404685836</v>
      </c>
      <c r="E86" s="56">
        <f>E81</f>
        <v>1045.3557847559703</v>
      </c>
      <c r="F86" s="56">
        <f>F81</f>
        <v>1097.6282804222747</v>
      </c>
      <c r="G86" s="56">
        <f>G81</f>
        <v>1152.5067995288994</v>
      </c>
    </row>
    <row r="87" spans="1:7" ht="28.5">
      <c r="A87" s="25" t="s">
        <v>70</v>
      </c>
      <c r="B87" s="53"/>
      <c r="C87" s="56">
        <v>288.61</v>
      </c>
      <c r="D87" s="56">
        <v>303.88</v>
      </c>
      <c r="E87" s="56">
        <v>319.07</v>
      </c>
      <c r="F87" s="56">
        <v>335.03</v>
      </c>
      <c r="G87" s="56">
        <v>351.78</v>
      </c>
    </row>
    <row r="88" spans="1:7" ht="15">
      <c r="A88" s="25" t="s">
        <v>63</v>
      </c>
      <c r="B88" s="53"/>
      <c r="C88" s="54">
        <f>SUM(C86:C87)</f>
        <v>1238.7413173200634</v>
      </c>
      <c r="D88" s="54">
        <f>SUM(D86:D87)</f>
        <v>1299.460404685836</v>
      </c>
      <c r="E88" s="54">
        <f>SUM(E86:E87)</f>
        <v>1364.4257847559702</v>
      </c>
      <c r="F88" s="54">
        <f>SUM(F86:F87)</f>
        <v>1432.6582804222746</v>
      </c>
      <c r="G88" s="54">
        <f>SUM(G86:G87)</f>
        <v>1504.2867995288993</v>
      </c>
    </row>
    <row r="89" spans="2:7" ht="15">
      <c r="B89" s="53"/>
      <c r="C89" s="54"/>
      <c r="D89" s="54"/>
      <c r="E89" s="54"/>
      <c r="F89" s="54"/>
      <c r="G89" s="54"/>
    </row>
    <row r="90" spans="1:7" ht="15.75" thickBot="1">
      <c r="A90" s="48" t="s">
        <v>64</v>
      </c>
      <c r="B90" s="49"/>
      <c r="C90" s="55"/>
      <c r="D90" s="57">
        <f>(D88-C88)/C88</f>
        <v>0.0490167612210872</v>
      </c>
      <c r="E90" s="57">
        <f>(E88-D88)/D88</f>
        <v>0.04999412051022866</v>
      </c>
      <c r="F90" s="57">
        <f>(F88-E88)/E88</f>
        <v>0.050008213292823345</v>
      </c>
      <c r="G90" s="57">
        <f>(G88-F88)/F88</f>
        <v>0.049996932335820005</v>
      </c>
    </row>
    <row r="91" spans="2:7" ht="15.75" thickTop="1">
      <c r="B91" s="33"/>
      <c r="C91" s="45"/>
      <c r="D91" s="45"/>
      <c r="E91" s="45"/>
      <c r="F91" s="45"/>
      <c r="G91" s="45"/>
    </row>
    <row r="92" spans="1:7" ht="15">
      <c r="A92" s="29" t="s">
        <v>65</v>
      </c>
      <c r="B92" s="30"/>
      <c r="C92" s="33"/>
      <c r="D92" s="33"/>
      <c r="E92" s="33"/>
      <c r="F92" s="33"/>
      <c r="G92" s="33"/>
    </row>
    <row r="93" spans="1:7" ht="15">
      <c r="A93" s="25" t="s">
        <v>66</v>
      </c>
      <c r="B93" s="30"/>
      <c r="C93" s="33">
        <v>10263</v>
      </c>
      <c r="D93" s="33">
        <f>+C97</f>
        <v>9124</v>
      </c>
      <c r="E93" s="33">
        <f>+D97</f>
        <v>7500</v>
      </c>
      <c r="F93" s="33">
        <f>+E97</f>
        <v>7500</v>
      </c>
      <c r="G93" s="33">
        <f>+F97</f>
        <v>7500</v>
      </c>
    </row>
    <row r="94" spans="1:7" ht="15">
      <c r="A94" s="25" t="s">
        <v>67</v>
      </c>
      <c r="B94" s="30"/>
      <c r="C94" s="33">
        <v>-2034</v>
      </c>
      <c r="D94" s="33">
        <v>0</v>
      </c>
      <c r="E94" s="33">
        <v>0</v>
      </c>
      <c r="F94" s="33">
        <v>0</v>
      </c>
      <c r="G94" s="33">
        <v>0</v>
      </c>
    </row>
    <row r="95" spans="1:7" ht="15">
      <c r="A95" s="25" t="s">
        <v>55</v>
      </c>
      <c r="B95" s="30"/>
      <c r="C95" s="34">
        <v>859</v>
      </c>
      <c r="D95" s="34">
        <v>0</v>
      </c>
      <c r="E95" s="34">
        <v>0</v>
      </c>
      <c r="F95" s="34">
        <v>0</v>
      </c>
      <c r="G95" s="34">
        <v>0</v>
      </c>
    </row>
    <row r="96" spans="1:7" ht="14.25">
      <c r="A96" s="25" t="s">
        <v>68</v>
      </c>
      <c r="C96" s="26">
        <v>36</v>
      </c>
      <c r="D96" s="26">
        <f>D29</f>
        <v>-1624</v>
      </c>
      <c r="E96" s="26">
        <f>E29</f>
        <v>0</v>
      </c>
      <c r="F96" s="26">
        <f>F29</f>
        <v>0</v>
      </c>
      <c r="G96" s="26">
        <f>G29</f>
        <v>0</v>
      </c>
    </row>
    <row r="97" spans="1:7" ht="15.75" thickBot="1">
      <c r="A97" s="29" t="s">
        <v>69</v>
      </c>
      <c r="B97" s="30"/>
      <c r="C97" s="58">
        <f>SUM(C93:C96)</f>
        <v>9124</v>
      </c>
      <c r="D97" s="58">
        <f>SUM(D93:D96)</f>
        <v>7500</v>
      </c>
      <c r="E97" s="58">
        <f>SUM(E93:E96)</f>
        <v>7500</v>
      </c>
      <c r="F97" s="58">
        <f>SUM(F93:F96)</f>
        <v>7500</v>
      </c>
      <c r="G97" s="58">
        <f>SUM(G93:G96)</f>
        <v>7500</v>
      </c>
    </row>
    <row r="98" ht="15" thickTop="1">
      <c r="G98" s="34"/>
    </row>
    <row r="106" spans="1:6" ht="15">
      <c r="A106" s="36"/>
      <c r="B106" s="37"/>
      <c r="C106" s="33"/>
      <c r="D106" s="33"/>
      <c r="E106" s="34"/>
      <c r="F106" s="34"/>
    </row>
    <row r="107" ht="14.25">
      <c r="A107" s="26"/>
    </row>
    <row r="108" ht="14.25">
      <c r="A108" s="26"/>
    </row>
    <row r="109" ht="14.25">
      <c r="A109" s="26"/>
    </row>
    <row r="110" ht="14.25">
      <c r="A110" s="26"/>
    </row>
    <row r="111" ht="14.25">
      <c r="A111" s="26"/>
    </row>
    <row r="112" spans="1:6" ht="15">
      <c r="A112" s="59"/>
      <c r="B112" s="40"/>
      <c r="C112" s="33"/>
      <c r="D112" s="33"/>
      <c r="E112" s="34"/>
      <c r="F112" s="34"/>
    </row>
  </sheetData>
  <printOptions/>
  <pageMargins left="0.75" right="0.75" top="1" bottom="1" header="0.5" footer="0.5"/>
  <pageSetup firstPageNumber="203" useFirstPageNumber="1" fitToHeight="2" fitToWidth="1" horizontalDpi="600" verticalDpi="600" orientation="portrait" paperSize="9" scale="77" r:id="rId1"/>
  <headerFooter alignWithMargins="0">
    <oddHeader>&amp;C
FINANCIAL FORECAST - 2008/09 - 2010/11&amp;R&amp;"Arial,Bold"Appendix  I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balac</dc:creator>
  <cp:keywords/>
  <dc:description/>
  <cp:lastModifiedBy>gossp</cp:lastModifiedBy>
  <cp:lastPrinted>2007-02-15T13:40:22Z</cp:lastPrinted>
  <dcterms:created xsi:type="dcterms:W3CDTF">2007-01-12T09:08:31Z</dcterms:created>
  <dcterms:modified xsi:type="dcterms:W3CDTF">2007-02-26T12:57:45Z</dcterms:modified>
  <cp:category/>
  <cp:version/>
  <cp:contentType/>
  <cp:contentStatus/>
</cp:coreProperties>
</file>