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firstSheet="2" activeTab="4"/>
  </bookViews>
  <sheets>
    <sheet name="Children &amp; Families " sheetId="1" r:id="rId1"/>
    <sheet name="Environment &amp; Cultural services" sheetId="2" r:id="rId2"/>
    <sheet name="Housing &amp; Community Care" sheetId="3" r:id="rId3"/>
    <sheet name="CORP -FCR" sheetId="4" r:id="rId4"/>
    <sheet name="CORP-CENTRAL" sheetId="5" r:id="rId5"/>
  </sheets>
  <definedNames>
    <definedName name="_xlnm.Print_Area" localSheetId="2">'Housing &amp; Community Care'!$A$1:$W$69</definedName>
    <definedName name="_xlnm.Print_Titles" localSheetId="2">'Housing &amp; Community Care'!$4:$6</definedName>
  </definedNames>
  <calcPr fullCalcOnLoad="1"/>
</workbook>
</file>

<file path=xl/comments2.xml><?xml version="1.0" encoding="utf-8"?>
<comments xmlns="http://schemas.openxmlformats.org/spreadsheetml/2006/main">
  <authors>
    <author>JYoung</author>
  </authors>
  <commentList>
    <comment ref="D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EIR £20K Flu -39  
£27K from StreetCare 
£43K refund of HR</t>
        </r>
      </text>
    </comment>
    <comment ref="J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Adjustment 
</t>
        </r>
      </text>
    </comment>
    <comment ref="L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Adjustment -£63 to be shared across E&amp;C
</t>
        </r>
      </text>
    </comment>
    <comment ref="O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Adjustment
</t>
        </r>
      </text>
    </comment>
    <comment ref="Q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-£165 to be shared across E&amp;C
</t>
        </r>
      </text>
    </comment>
    <comment ref="T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£340k to be shared across E&amp;C
</t>
        </r>
      </text>
    </comment>
    <comment ref="V8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-£624 to be shared across E&amp;C
</t>
        </r>
      </text>
    </comment>
    <comment ref="B9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Transfer £90K to OSS</t>
        </r>
      </text>
    </comment>
    <comment ref="D9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Transfer to OSS £17K
HR £42K
</t>
        </r>
      </text>
    </comment>
    <comment ref="J15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Reduction due to WPEG  to be paid to Waste Disposal Authorities from 2008/9</t>
        </r>
      </text>
    </comment>
    <comment ref="H24" authorId="0">
      <text>
        <r>
          <rPr>
            <b/>
            <sz val="8"/>
            <rFont val="Tahoma"/>
            <family val="0"/>
          </rPr>
          <t>JYoung:</t>
        </r>
        <r>
          <rPr>
            <sz val="8"/>
            <rFont val="Tahoma"/>
            <family val="0"/>
          </rPr>
          <t xml:space="preserve">
Transfer to HR
£330 - Staff
£315 - Training</t>
        </r>
      </text>
    </comment>
  </commentList>
</comments>
</file>

<file path=xl/sharedStrings.xml><?xml version="1.0" encoding="utf-8"?>
<sst xmlns="http://schemas.openxmlformats.org/spreadsheetml/2006/main" count="254" uniqueCount="120">
  <si>
    <t>YEAR 2</t>
  </si>
  <si>
    <t>YEAR 3</t>
  </si>
  <si>
    <t>YEAR 4</t>
  </si>
  <si>
    <t>YEAR 5</t>
  </si>
  <si>
    <t>BUILDING CONTROL</t>
  </si>
  <si>
    <t>CEMETERIES AND MORTUARY</t>
  </si>
  <si>
    <t>DIRECTORATE</t>
  </si>
  <si>
    <t>ENVIRONMENTAL HEALTH</t>
  </si>
  <si>
    <t>HEALTH, SAFETY &amp; LICENSING</t>
  </si>
  <si>
    <t>PARKS</t>
  </si>
  <si>
    <t>PLANNING SERVICE</t>
  </si>
  <si>
    <t>REGISTRARS BDM</t>
  </si>
  <si>
    <t>SPORTS</t>
  </si>
  <si>
    <t>STREETCARE</t>
  </si>
  <si>
    <t>TRADING STANDARDS</t>
  </si>
  <si>
    <t>TRANSPORTATION</t>
  </si>
  <si>
    <t>PARKING</t>
  </si>
  <si>
    <t>LIBRARIES</t>
  </si>
  <si>
    <t>BACES</t>
  </si>
  <si>
    <t>UNIDENTIFIED SAVINGS</t>
  </si>
  <si>
    <t>YEAR 1</t>
  </si>
  <si>
    <t>ITEM</t>
  </si>
  <si>
    <t xml:space="preserve">  Budget Virements                       &amp; Technical Adjustments                          £’000               (2)</t>
  </si>
  <si>
    <t xml:space="preserve">                         Agreed Growth                          £’000               (3)</t>
  </si>
  <si>
    <t xml:space="preserve">                        Committed &amp; Additional   Savings     £’000                (4)</t>
  </si>
  <si>
    <t xml:space="preserve">                         Inflation                                  £’000                (5)</t>
  </si>
  <si>
    <t xml:space="preserve">  Budget Virements                       &amp; Technical Adjustments                          £’000               (7)</t>
  </si>
  <si>
    <t xml:space="preserve">                        Committed &amp; Additional   Savings     £’000                (8)</t>
  </si>
  <si>
    <t xml:space="preserve">                         Inflation                                  £’000                (9)</t>
  </si>
  <si>
    <t xml:space="preserve">  Budget Virements                       &amp; Technical Adjustments                          £’000               (11)</t>
  </si>
  <si>
    <t xml:space="preserve">                        Committed &amp; Additional   Savings     £’000                (12)</t>
  </si>
  <si>
    <t xml:space="preserve">                         Inflation                                  £’000                (13)</t>
  </si>
  <si>
    <t xml:space="preserve">  Budget Virements                       &amp; Technical Adjustments                          £’000               (15)</t>
  </si>
  <si>
    <t xml:space="preserve">                        Committed &amp; Additional   Savings     £’000                (16)</t>
  </si>
  <si>
    <t xml:space="preserve">                         Inflation                                  £’000                (17)</t>
  </si>
  <si>
    <t>FINANCE</t>
  </si>
  <si>
    <t>PROPERTY &amp; ASSET MANAGEMENT</t>
  </si>
  <si>
    <t>INFORMATION TECHNOLOGY</t>
  </si>
  <si>
    <t xml:space="preserve">TOTAL </t>
  </si>
  <si>
    <t>CHIEF EXECUTIVE</t>
  </si>
  <si>
    <t>COMMUNICATIONS &amp; CONSULTATION</t>
  </si>
  <si>
    <t>LEGAL &amp; DEMOCRATIC</t>
  </si>
  <si>
    <t>POLICY &amp; REGENERATION</t>
  </si>
  <si>
    <t>SRB SERVICES</t>
  </si>
  <si>
    <t>OTHER CORPORATE</t>
  </si>
  <si>
    <t>NEIGHBOURHOOD RENEWAL</t>
  </si>
  <si>
    <t>TOTAL</t>
  </si>
  <si>
    <t>Notes:</t>
  </si>
  <si>
    <t>2006/2007 Approved Budget          £’000                       (1)</t>
  </si>
  <si>
    <t>2007/2008        Budget      Forecast     £’000                  (6)</t>
  </si>
  <si>
    <t>2008/2009              Budget               Forecast             £’000               (10)</t>
  </si>
  <si>
    <t>2009/2010              Budget               Forecast             £’000               (14)</t>
  </si>
  <si>
    <t>2010/2011              Budget               Forecast             £’000               (18)</t>
  </si>
  <si>
    <t>REVENUES/BENS</t>
  </si>
  <si>
    <t>HB SUBSIDY</t>
  </si>
  <si>
    <t xml:space="preserve"> </t>
  </si>
  <si>
    <t>PEOPLES CENTRE</t>
  </si>
  <si>
    <t xml:space="preserve">HUMAN RESOURCES </t>
  </si>
  <si>
    <t>SERVICE AREA:  ENVIRONMENT AND CULTURE</t>
  </si>
  <si>
    <t>Public Sector</t>
  </si>
  <si>
    <t xml:space="preserve">             </t>
  </si>
  <si>
    <t>Travellers site SLA</t>
  </si>
  <si>
    <t>Travellers site client</t>
  </si>
  <si>
    <t xml:space="preserve">Housing Resources Centre </t>
  </si>
  <si>
    <t>Temporary Accommodation</t>
  </si>
  <si>
    <t>Recharges to HRA</t>
  </si>
  <si>
    <t>Housing Client Budgets</t>
  </si>
  <si>
    <t>Sub Total</t>
  </si>
  <si>
    <t>Private Sector</t>
  </si>
  <si>
    <t>Private Housing Services</t>
  </si>
  <si>
    <t>Private Housing Info Unit</t>
  </si>
  <si>
    <t>B &amp; B Inspections</t>
  </si>
  <si>
    <t>IT</t>
  </si>
  <si>
    <t>Legal Fees</t>
  </si>
  <si>
    <t>Other</t>
  </si>
  <si>
    <t>Bed &amp; Breakfast HB Deficit</t>
  </si>
  <si>
    <t>Advice Centres</t>
  </si>
  <si>
    <t xml:space="preserve">Supporting People Team </t>
  </si>
  <si>
    <t>South Kilburn Regeneration</t>
  </si>
  <si>
    <t>Brent Energy Network</t>
  </si>
  <si>
    <t>Policy and Development Unit</t>
  </si>
  <si>
    <t>Unidentified Savings</t>
  </si>
  <si>
    <t>One Stop Shop</t>
  </si>
  <si>
    <t>Adult &amp; Social Care</t>
  </si>
  <si>
    <t>Adults</t>
  </si>
  <si>
    <t>Older People Services</t>
  </si>
  <si>
    <t>Learning Disabilities</t>
  </si>
  <si>
    <t>Physical Disabilities</t>
  </si>
  <si>
    <t>Mental Health</t>
  </si>
  <si>
    <t>Emergency Duty Team</t>
  </si>
  <si>
    <t>Support Services</t>
  </si>
  <si>
    <t xml:space="preserve">Voluntary Sector </t>
  </si>
  <si>
    <t>Voluntary Sector Grants</t>
  </si>
  <si>
    <t>Voluntary Sector Operating</t>
  </si>
  <si>
    <t>GRAND TOTAL</t>
  </si>
  <si>
    <t>Service Area:  Corporate - Finance and Coproate Resources</t>
  </si>
  <si>
    <t>Cosr Shunting from Health</t>
  </si>
  <si>
    <t>SERVICE AREA:  Children &amp; Families</t>
  </si>
  <si>
    <t>Strategic Management</t>
  </si>
  <si>
    <t>Specific Grants</t>
  </si>
  <si>
    <t>Facilitating School Improvement</t>
  </si>
  <si>
    <t>Special Educaional Needs</t>
  </si>
  <si>
    <t>Health Service Partnerships</t>
  </si>
  <si>
    <t>Access</t>
  </si>
  <si>
    <t>Other LA Services</t>
  </si>
  <si>
    <t>Family Support Services</t>
  </si>
  <si>
    <t>Children's Grant</t>
  </si>
  <si>
    <t>Total</t>
  </si>
  <si>
    <t>HR Transformation to be apportioned</t>
  </si>
  <si>
    <t>Technical &amp; Inflation Adjustments</t>
  </si>
  <si>
    <t>Review of Support Staff</t>
  </si>
  <si>
    <t>Childrens Centres Grant</t>
  </si>
  <si>
    <t>Savings to be Identified</t>
  </si>
  <si>
    <t>Spend to Save</t>
  </si>
  <si>
    <t>1. 2007/2008 Budget = Column 1 + 2 + 3 + 4 + 5</t>
  </si>
  <si>
    <t xml:space="preserve">2. 2008/2009 Budget = Column  6 + 7 + 8 + 9 </t>
  </si>
  <si>
    <t>3. 2009/2010 Budget = Column 10 + 11 + 12 + 13</t>
  </si>
  <si>
    <t>4. 2010/2011 Budget = Column 14 + 15 + 16 + 17</t>
  </si>
  <si>
    <t>Service Area: Housing and Community Care</t>
  </si>
  <si>
    <t>Service Area:  Corporate - Central Units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</si>
</sst>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,##0;[Red]\(#,##0\)"/>
    <numFmt numFmtId="166" formatCode="#,###;\(#,###\);0"/>
    <numFmt numFmtId="167" formatCode="_(* #,##0.00_);_(* \(#,##0.00\);_(* &quot;-&quot;_);_(@_)"/>
    <numFmt numFmtId="168" formatCode="#,##0;\(#,##0\)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 horizontal="centerContinuous" vertical="center" wrapText="1"/>
    </xf>
    <xf numFmtId="1" fontId="1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wrapText="1"/>
    </xf>
    <xf numFmtId="1" fontId="1" fillId="0" borderId="3" xfId="0" applyNumberFormat="1" applyFont="1" applyBorder="1" applyAlignment="1">
      <alignment/>
    </xf>
    <xf numFmtId="1" fontId="0" fillId="0" borderId="0" xfId="0" applyNumberFormat="1" applyAlignment="1">
      <alignment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7" fillId="0" borderId="5" xfId="0" applyNumberFormat="1" applyFont="1" applyBorder="1" applyAlignment="1">
      <alignment horizontal="centerContinuous" vertical="center" wrapText="1"/>
    </xf>
    <xf numFmtId="164" fontId="7" fillId="0" borderId="1" xfId="0" applyNumberFormat="1" applyFont="1" applyBorder="1" applyAlignment="1">
      <alignment horizontal="centerContinuous" vertical="center" wrapText="1"/>
    </xf>
    <xf numFmtId="164" fontId="7" fillId="0" borderId="7" xfId="0" applyNumberFormat="1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6" fontId="0" fillId="0" borderId="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6" fillId="0" borderId="2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5" fontId="0" fillId="0" borderId="11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5" fontId="6" fillId="0" borderId="1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/>
    </xf>
    <xf numFmtId="165" fontId="6" fillId="0" borderId="0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65" fontId="9" fillId="0" borderId="2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11" xfId="0" applyBorder="1" applyAlignment="1">
      <alignment wrapText="1"/>
    </xf>
    <xf numFmtId="1" fontId="1" fillId="0" borderId="3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5" xfId="0" applyNumberFormat="1" applyFont="1" applyBorder="1" applyAlignment="1">
      <alignment horizontal="centerContinuous" vertical="center" wrapText="1"/>
    </xf>
    <xf numFmtId="1" fontId="1" fillId="0" borderId="9" xfId="0" applyNumberFormat="1" applyFont="1" applyFill="1" applyBorder="1" applyAlignment="1">
      <alignment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Continuous" vertical="center" wrapText="1"/>
    </xf>
    <xf numFmtId="1" fontId="1" fillId="0" borderId="3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7" fillId="0" borderId="2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7" xfId="0" applyNumberFormat="1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165" fontId="13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166" fontId="0" fillId="0" borderId="2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6" fillId="0" borderId="9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 horizontal="right"/>
    </xf>
    <xf numFmtId="3" fontId="0" fillId="0" borderId="8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165" fontId="6" fillId="0" borderId="2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ill="1" applyBorder="1" applyAlignment="1">
      <alignment wrapText="1"/>
    </xf>
    <xf numFmtId="167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164" fontId="0" fillId="0" borderId="0" xfId="0" applyNumberFormat="1" applyFill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165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6" fillId="0" borderId="11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6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167" fontId="7" fillId="0" borderId="10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N17">
      <selection activeCell="F23" sqref="F23"/>
    </sheetView>
  </sheetViews>
  <sheetFormatPr defaultColWidth="9.140625" defaultRowHeight="12.75"/>
  <cols>
    <col min="1" max="1" width="38.28125" style="0" customWidth="1"/>
    <col min="2" max="2" width="10.00390625" style="14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14" customWidth="1"/>
    <col min="8" max="8" width="10.28125" style="14" customWidth="1"/>
    <col min="9" max="9" width="0.2890625" style="0" customWidth="1"/>
    <col min="10" max="10" width="12.421875" style="14" customWidth="1"/>
    <col min="11" max="11" width="10.7109375" style="14" bestFit="1" customWidth="1"/>
    <col min="12" max="12" width="8.421875" style="14" customWidth="1"/>
    <col min="13" max="13" width="10.00390625" style="14" customWidth="1"/>
    <col min="14" max="14" width="0.2890625" style="14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3" t="s">
        <v>97</v>
      </c>
      <c r="V1" s="13"/>
    </row>
    <row r="2" spans="1:23" ht="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4" spans="1:23" s="111" customFormat="1" ht="24.75" customHeight="1">
      <c r="A4" s="15"/>
      <c r="B4" s="16" t="s">
        <v>20</v>
      </c>
      <c r="C4" s="17"/>
      <c r="D4" s="123" t="s">
        <v>0</v>
      </c>
      <c r="E4" s="124"/>
      <c r="F4" s="124"/>
      <c r="G4" s="124"/>
      <c r="H4" s="125"/>
      <c r="I4" s="18"/>
      <c r="J4" s="126" t="s">
        <v>1</v>
      </c>
      <c r="K4" s="127"/>
      <c r="L4" s="127"/>
      <c r="M4" s="128"/>
      <c r="N4" s="19"/>
      <c r="O4" s="126" t="s">
        <v>2</v>
      </c>
      <c r="P4" s="127"/>
      <c r="Q4" s="127"/>
      <c r="R4" s="128"/>
      <c r="S4" s="19"/>
      <c r="T4" s="20" t="s">
        <v>3</v>
      </c>
      <c r="U4" s="20"/>
      <c r="V4" s="20"/>
      <c r="W4" s="21"/>
    </row>
    <row r="5" spans="1:23" s="112" customFormat="1" ht="90.75" customHeight="1">
      <c r="A5" s="22" t="s">
        <v>21</v>
      </c>
      <c r="B5" s="23" t="s">
        <v>48</v>
      </c>
      <c r="C5" s="24"/>
      <c r="D5" s="25" t="s">
        <v>22</v>
      </c>
      <c r="E5" s="25" t="s">
        <v>23</v>
      </c>
      <c r="F5" s="25" t="s">
        <v>24</v>
      </c>
      <c r="G5" s="25" t="s">
        <v>25</v>
      </c>
      <c r="H5" s="23" t="s">
        <v>49</v>
      </c>
      <c r="I5" s="26"/>
      <c r="J5" s="25" t="s">
        <v>26</v>
      </c>
      <c r="K5" s="25" t="s">
        <v>27</v>
      </c>
      <c r="L5" s="25" t="s">
        <v>28</v>
      </c>
      <c r="M5" s="27" t="s">
        <v>50</v>
      </c>
      <c r="N5" s="28"/>
      <c r="O5" s="25" t="s">
        <v>29</v>
      </c>
      <c r="P5" s="25" t="s">
        <v>30</v>
      </c>
      <c r="Q5" s="25" t="s">
        <v>31</v>
      </c>
      <c r="R5" s="23" t="s">
        <v>51</v>
      </c>
      <c r="S5" s="28"/>
      <c r="T5" s="25" t="s">
        <v>32</v>
      </c>
      <c r="U5" s="25" t="s">
        <v>33</v>
      </c>
      <c r="V5" s="25" t="s">
        <v>34</v>
      </c>
      <c r="W5" s="23" t="s">
        <v>52</v>
      </c>
    </row>
    <row r="6" spans="1:23" ht="24.75" customHeight="1">
      <c r="A6" s="113" t="s">
        <v>98</v>
      </c>
      <c r="B6" s="29">
        <v>3110</v>
      </c>
      <c r="C6" s="30"/>
      <c r="D6" s="29">
        <v>35</v>
      </c>
      <c r="E6" s="29">
        <v>40</v>
      </c>
      <c r="F6" s="29">
        <v>-85</v>
      </c>
      <c r="G6" s="29">
        <v>79</v>
      </c>
      <c r="H6" s="29">
        <v>3179</v>
      </c>
      <c r="I6" s="30"/>
      <c r="J6" s="29">
        <v>43</v>
      </c>
      <c r="K6" s="29"/>
      <c r="L6" s="29">
        <v>82</v>
      </c>
      <c r="M6" s="29">
        <v>3304</v>
      </c>
      <c r="N6" s="30"/>
      <c r="O6" s="29">
        <v>42</v>
      </c>
      <c r="P6" s="29"/>
      <c r="Q6" s="29">
        <v>81</v>
      </c>
      <c r="R6" s="29">
        <v>3427</v>
      </c>
      <c r="S6" s="30"/>
      <c r="T6" s="29">
        <v>46</v>
      </c>
      <c r="U6" s="29"/>
      <c r="V6" s="29">
        <v>84</v>
      </c>
      <c r="W6" s="29">
        <v>3557</v>
      </c>
    </row>
    <row r="7" spans="1:23" ht="24.75" customHeight="1">
      <c r="A7" s="113" t="s">
        <v>99</v>
      </c>
      <c r="B7" s="29">
        <v>926</v>
      </c>
      <c r="C7" s="30">
        <v>9</v>
      </c>
      <c r="D7" s="29">
        <v>9</v>
      </c>
      <c r="E7" s="29"/>
      <c r="F7" s="29"/>
      <c r="G7" s="29">
        <v>22</v>
      </c>
      <c r="H7" s="29">
        <v>957</v>
      </c>
      <c r="I7" s="30"/>
      <c r="J7" s="29">
        <v>10</v>
      </c>
      <c r="K7" s="29"/>
      <c r="L7" s="29">
        <v>27</v>
      </c>
      <c r="M7" s="29">
        <v>994</v>
      </c>
      <c r="N7" s="30"/>
      <c r="O7" s="29">
        <v>12</v>
      </c>
      <c r="P7" s="29"/>
      <c r="Q7" s="29">
        <v>27</v>
      </c>
      <c r="R7" s="29">
        <v>1033</v>
      </c>
      <c r="S7" s="30"/>
      <c r="T7" s="29">
        <v>14</v>
      </c>
      <c r="U7" s="29"/>
      <c r="V7" s="29">
        <v>28</v>
      </c>
      <c r="W7" s="29">
        <v>1075</v>
      </c>
    </row>
    <row r="8" spans="1:23" ht="24.75" customHeight="1">
      <c r="A8" s="113" t="s">
        <v>100</v>
      </c>
      <c r="B8" s="29">
        <v>1035</v>
      </c>
      <c r="C8" s="30"/>
      <c r="D8" s="29">
        <v>9</v>
      </c>
      <c r="E8" s="29"/>
      <c r="F8" s="29"/>
      <c r="G8" s="29">
        <v>26</v>
      </c>
      <c r="H8" s="29">
        <f>SUM(B8:G8)</f>
        <v>1070</v>
      </c>
      <c r="I8" s="30"/>
      <c r="J8" s="31">
        <v>10</v>
      </c>
      <c r="K8" s="29"/>
      <c r="L8" s="114">
        <v>27</v>
      </c>
      <c r="M8" s="32">
        <f>SUM(H8:L8)</f>
        <v>1107</v>
      </c>
      <c r="N8" s="30"/>
      <c r="O8" s="31">
        <v>10</v>
      </c>
      <c r="P8" s="29"/>
      <c r="Q8" s="114">
        <v>27</v>
      </c>
      <c r="R8" s="29">
        <f>SUM(M8:Q8)</f>
        <v>1144</v>
      </c>
      <c r="S8" s="30"/>
      <c r="T8" s="31">
        <v>10</v>
      </c>
      <c r="U8" s="29"/>
      <c r="V8" s="114">
        <f>(Q8/M8)*R8</f>
        <v>27.902439024390244</v>
      </c>
      <c r="W8" s="29">
        <f>SUM(R8:V8)</f>
        <v>1181.9024390243903</v>
      </c>
    </row>
    <row r="9" spans="1:23" ht="24.75" customHeight="1">
      <c r="A9" s="113" t="s">
        <v>101</v>
      </c>
      <c r="B9" s="29">
        <v>2366</v>
      </c>
      <c r="C9" s="30"/>
      <c r="D9" s="29">
        <v>18</v>
      </c>
      <c r="E9" s="29">
        <v>80</v>
      </c>
      <c r="F9" s="29">
        <v>-102</v>
      </c>
      <c r="G9" s="29">
        <v>51</v>
      </c>
      <c r="H9" s="29">
        <v>2413</v>
      </c>
      <c r="I9" s="30"/>
      <c r="J9" s="29">
        <v>33</v>
      </c>
      <c r="K9" s="29"/>
      <c r="L9" s="29">
        <v>53</v>
      </c>
      <c r="M9" s="29">
        <v>2499</v>
      </c>
      <c r="N9" s="30"/>
      <c r="O9" s="29">
        <v>18</v>
      </c>
      <c r="P9" s="29"/>
      <c r="Q9" s="29">
        <v>53</v>
      </c>
      <c r="R9" s="29">
        <v>2570</v>
      </c>
      <c r="S9" s="30"/>
      <c r="T9" s="29">
        <v>18</v>
      </c>
      <c r="U9" s="29"/>
      <c r="V9" s="29">
        <v>55</v>
      </c>
      <c r="W9" s="29">
        <v>2643</v>
      </c>
    </row>
    <row r="10" spans="1:23" ht="24.75" customHeight="1">
      <c r="A10" s="113" t="s">
        <v>102</v>
      </c>
      <c r="B10" s="29">
        <v>73</v>
      </c>
      <c r="C10" s="30"/>
      <c r="D10" s="30"/>
      <c r="E10" s="29"/>
      <c r="F10" s="29"/>
      <c r="G10" s="29">
        <v>2</v>
      </c>
      <c r="H10" s="29">
        <f>SUM(B10:G10)</f>
        <v>75</v>
      </c>
      <c r="I10" s="30"/>
      <c r="J10" s="31"/>
      <c r="K10" s="29"/>
      <c r="L10" s="29">
        <v>2</v>
      </c>
      <c r="M10" s="32">
        <f>SUM(H10:L10)</f>
        <v>77</v>
      </c>
      <c r="N10" s="30"/>
      <c r="O10" s="31">
        <v>2</v>
      </c>
      <c r="P10" s="29"/>
      <c r="Q10" s="29">
        <v>0</v>
      </c>
      <c r="R10" s="29">
        <f>SUM(M10:Q10)</f>
        <v>79</v>
      </c>
      <c r="S10" s="30"/>
      <c r="T10" s="31">
        <v>2</v>
      </c>
      <c r="U10" s="29"/>
      <c r="V10" s="114">
        <f>(Q10/M10)*R10</f>
        <v>0</v>
      </c>
      <c r="W10" s="29">
        <f>SUM(R10:V10)</f>
        <v>81</v>
      </c>
    </row>
    <row r="11" spans="1:23" ht="24.75" customHeight="1">
      <c r="A11" s="113" t="s">
        <v>103</v>
      </c>
      <c r="B11" s="29">
        <v>5053</v>
      </c>
      <c r="C11" s="30"/>
      <c r="D11" s="29">
        <v>16</v>
      </c>
      <c r="E11" s="29">
        <v>260</v>
      </c>
      <c r="F11" s="29">
        <v>-3</v>
      </c>
      <c r="G11" s="29">
        <v>127</v>
      </c>
      <c r="H11" s="29">
        <v>5453</v>
      </c>
      <c r="I11" s="30"/>
      <c r="J11" s="29">
        <v>16</v>
      </c>
      <c r="K11" s="29"/>
      <c r="L11" s="29">
        <v>132</v>
      </c>
      <c r="M11" s="29">
        <v>5601</v>
      </c>
      <c r="N11" s="30"/>
      <c r="O11" s="29">
        <v>16</v>
      </c>
      <c r="P11" s="29"/>
      <c r="Q11" s="29">
        <v>132</v>
      </c>
      <c r="R11" s="29">
        <v>5749</v>
      </c>
      <c r="S11" s="30"/>
      <c r="T11" s="29">
        <v>16</v>
      </c>
      <c r="U11" s="29"/>
      <c r="V11" s="29">
        <v>136</v>
      </c>
      <c r="W11" s="29">
        <v>5901</v>
      </c>
    </row>
    <row r="12" spans="1:23" ht="24.75" customHeight="1">
      <c r="A12" s="113" t="s">
        <v>104</v>
      </c>
      <c r="B12" s="29">
        <v>2683</v>
      </c>
      <c r="C12" s="30"/>
      <c r="D12" s="29">
        <v>26</v>
      </c>
      <c r="E12" s="29">
        <v>45</v>
      </c>
      <c r="F12" s="29">
        <v>-150</v>
      </c>
      <c r="G12" s="29">
        <v>62</v>
      </c>
      <c r="H12" s="29">
        <v>2666</v>
      </c>
      <c r="I12" s="30"/>
      <c r="J12" s="29">
        <v>43</v>
      </c>
      <c r="K12" s="29"/>
      <c r="L12" s="29">
        <v>65</v>
      </c>
      <c r="M12" s="29">
        <v>2774</v>
      </c>
      <c r="N12" s="30"/>
      <c r="O12" s="29">
        <v>30</v>
      </c>
      <c r="P12" s="29"/>
      <c r="Q12" s="29">
        <v>65</v>
      </c>
      <c r="R12" s="29">
        <v>2869</v>
      </c>
      <c r="S12" s="30"/>
      <c r="T12" s="29">
        <v>32</v>
      </c>
      <c r="U12" s="29"/>
      <c r="V12" s="29">
        <v>67</v>
      </c>
      <c r="W12" s="29">
        <v>2968</v>
      </c>
    </row>
    <row r="13" spans="1:23" ht="24.75" customHeight="1">
      <c r="A13" s="113" t="s">
        <v>105</v>
      </c>
      <c r="B13" s="29">
        <v>28374</v>
      </c>
      <c r="C13" s="30"/>
      <c r="D13" s="29">
        <v>106</v>
      </c>
      <c r="E13" s="29">
        <v>4175</v>
      </c>
      <c r="F13" s="29">
        <v>-506</v>
      </c>
      <c r="G13" s="29">
        <v>698</v>
      </c>
      <c r="H13" s="29">
        <v>32847</v>
      </c>
      <c r="I13" s="30"/>
      <c r="J13" s="29">
        <v>111</v>
      </c>
      <c r="K13" s="29"/>
      <c r="L13" s="29">
        <v>722</v>
      </c>
      <c r="M13" s="29">
        <v>33680</v>
      </c>
      <c r="N13" s="30"/>
      <c r="O13" s="29">
        <v>115</v>
      </c>
      <c r="P13" s="29"/>
      <c r="Q13" s="29">
        <v>722</v>
      </c>
      <c r="R13" s="29">
        <v>34517</v>
      </c>
      <c r="S13" s="30"/>
      <c r="T13" s="29">
        <v>119</v>
      </c>
      <c r="U13" s="29"/>
      <c r="V13" s="29">
        <v>753</v>
      </c>
      <c r="W13" s="29">
        <v>35389</v>
      </c>
    </row>
    <row r="14" spans="1:23" ht="24.75" customHeight="1">
      <c r="A14" s="115" t="s">
        <v>74</v>
      </c>
      <c r="B14" s="29">
        <v>2357</v>
      </c>
      <c r="C14" s="30"/>
      <c r="D14" s="29">
        <v>12</v>
      </c>
      <c r="E14" s="29">
        <v>240</v>
      </c>
      <c r="F14" s="29"/>
      <c r="G14" s="29">
        <v>64</v>
      </c>
      <c r="H14" s="29">
        <v>2673</v>
      </c>
      <c r="I14" s="30"/>
      <c r="J14" s="29">
        <v>51</v>
      </c>
      <c r="K14" s="29"/>
      <c r="L14" s="29">
        <v>65</v>
      </c>
      <c r="M14" s="29">
        <v>2789</v>
      </c>
      <c r="N14" s="30"/>
      <c r="O14" s="29">
        <v>12</v>
      </c>
      <c r="P14" s="29"/>
      <c r="Q14" s="29">
        <v>65</v>
      </c>
      <c r="R14" s="29">
        <v>2866</v>
      </c>
      <c r="S14" s="30"/>
      <c r="T14" s="29">
        <v>12</v>
      </c>
      <c r="U14" s="29"/>
      <c r="V14" s="29">
        <v>67</v>
      </c>
      <c r="W14" s="29">
        <v>2945</v>
      </c>
    </row>
    <row r="15" spans="1:23" ht="24.75" customHeight="1">
      <c r="A15" s="113" t="s">
        <v>106</v>
      </c>
      <c r="B15" s="36">
        <v>-1404</v>
      </c>
      <c r="C15" s="36">
        <f>C12+C13</f>
        <v>0</v>
      </c>
      <c r="D15" s="36">
        <v>-439</v>
      </c>
      <c r="E15" s="36"/>
      <c r="F15" s="36"/>
      <c r="G15" s="36">
        <v>-33</v>
      </c>
      <c r="H15" s="29">
        <f>SUM(B15:G15)</f>
        <v>-1876</v>
      </c>
      <c r="I15" s="36">
        <f>I12+I13</f>
        <v>0</v>
      </c>
      <c r="J15" s="36"/>
      <c r="K15" s="36"/>
      <c r="L15" s="36">
        <v>-33</v>
      </c>
      <c r="M15" s="32">
        <f>SUM(H15:L15)</f>
        <v>-1909</v>
      </c>
      <c r="N15" s="36">
        <f>N12+N13</f>
        <v>0</v>
      </c>
      <c r="O15" s="36"/>
      <c r="P15" s="36"/>
      <c r="Q15" s="36">
        <v>-33</v>
      </c>
      <c r="R15" s="29">
        <f>SUM(M15:Q15)</f>
        <v>-1942</v>
      </c>
      <c r="S15" s="36">
        <f>S12+S13</f>
        <v>0</v>
      </c>
      <c r="T15" s="36"/>
      <c r="U15" s="36"/>
      <c r="V15" s="114">
        <f>(Q15/M15)*R15</f>
        <v>-33.57045573598743</v>
      </c>
      <c r="W15" s="29">
        <f>SUM(R15:V15)</f>
        <v>-1975.5704557359875</v>
      </c>
    </row>
    <row r="16" spans="1:23" ht="24.75" customHeight="1">
      <c r="A16" s="116"/>
      <c r="B16" s="29"/>
      <c r="C16" s="30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30"/>
      <c r="O16" s="29"/>
      <c r="P16" s="29"/>
      <c r="Q16" s="29"/>
      <c r="R16" s="29"/>
      <c r="S16" s="30"/>
      <c r="T16" s="29"/>
      <c r="U16" s="29"/>
      <c r="V16" s="29"/>
      <c r="W16" s="29"/>
    </row>
    <row r="17" spans="1:23" ht="24.75" customHeight="1">
      <c r="A17" s="116" t="s">
        <v>107</v>
      </c>
      <c r="B17" s="33">
        <f>SUM(B6:B15)</f>
        <v>44573</v>
      </c>
      <c r="C17" s="34"/>
      <c r="D17" s="33">
        <f>SUM(D6:D15)</f>
        <v>-208</v>
      </c>
      <c r="E17" s="33">
        <f>SUM(E6:E15)</f>
        <v>4840</v>
      </c>
      <c r="F17" s="33">
        <f>SUM(F6:F15)</f>
        <v>-846</v>
      </c>
      <c r="G17" s="33">
        <f>SUM(G6:G15)</f>
        <v>1098</v>
      </c>
      <c r="H17" s="33">
        <f>SUM(H6:H15)</f>
        <v>49457</v>
      </c>
      <c r="I17" s="34"/>
      <c r="J17" s="33">
        <f>SUM(J6:J15)</f>
        <v>317</v>
      </c>
      <c r="K17" s="33">
        <f>SUM(K6:K15)</f>
        <v>0</v>
      </c>
      <c r="L17" s="33">
        <f>SUM(L6:L15)</f>
        <v>1142</v>
      </c>
      <c r="M17" s="33">
        <f>SUM(M6:M15)</f>
        <v>50916</v>
      </c>
      <c r="N17" s="34"/>
      <c r="O17" s="33">
        <f>SUM(O6:O15)</f>
        <v>257</v>
      </c>
      <c r="P17" s="33">
        <f>SUM(P6:P15)</f>
        <v>0</v>
      </c>
      <c r="Q17" s="33">
        <f>SUM(Q6:Q15)</f>
        <v>1139</v>
      </c>
      <c r="R17" s="33">
        <f>SUM(R6:R15)</f>
        <v>52312</v>
      </c>
      <c r="S17" s="34"/>
      <c r="T17" s="33">
        <f>SUM(T6:T15)</f>
        <v>269</v>
      </c>
      <c r="U17" s="33">
        <f>SUM(U6:U15)</f>
        <v>0</v>
      </c>
      <c r="V17" s="33">
        <f>SUM(V6:V15)</f>
        <v>1184.3319832884029</v>
      </c>
      <c r="W17" s="33">
        <f>SUM(W6:W15)</f>
        <v>53765.3319832884</v>
      </c>
    </row>
    <row r="18" spans="1:23" ht="24.75" customHeight="1">
      <c r="A18" s="116"/>
      <c r="B18" s="29"/>
      <c r="C18" s="30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30"/>
      <c r="O18" s="29"/>
      <c r="P18" s="29"/>
      <c r="Q18" s="29"/>
      <c r="R18" s="29"/>
      <c r="S18" s="30"/>
      <c r="T18" s="29"/>
      <c r="U18" s="29"/>
      <c r="V18" s="29"/>
      <c r="W18" s="29"/>
    </row>
    <row r="19" spans="1:23" ht="24.75" customHeight="1">
      <c r="A19" s="113" t="s">
        <v>108</v>
      </c>
      <c r="B19" s="36">
        <v>-35</v>
      </c>
      <c r="C19" s="37"/>
      <c r="D19" s="36">
        <v>-800</v>
      </c>
      <c r="E19" s="36"/>
      <c r="F19" s="36"/>
      <c r="G19" s="36"/>
      <c r="H19" s="36">
        <f aca="true" t="shared" si="0" ref="H19:H24">SUM(B19:G19)</f>
        <v>-835</v>
      </c>
      <c r="I19" s="37"/>
      <c r="J19" s="117"/>
      <c r="K19" s="36"/>
      <c r="L19" s="36"/>
      <c r="M19" s="118">
        <f aca="true" t="shared" si="1" ref="M19:M24">SUM(H19:L19)</f>
        <v>-835</v>
      </c>
      <c r="N19" s="37"/>
      <c r="O19" s="117"/>
      <c r="P19" s="36"/>
      <c r="Q19" s="36"/>
      <c r="R19" s="36">
        <f aca="true" t="shared" si="2" ref="R19:R24">SUM(M19:Q19)</f>
        <v>-835</v>
      </c>
      <c r="S19" s="37"/>
      <c r="T19" s="117"/>
      <c r="U19" s="36"/>
      <c r="V19" s="36"/>
      <c r="W19" s="36">
        <f aca="true" t="shared" si="3" ref="W19:W24">SUM(R19:V19)</f>
        <v>-835</v>
      </c>
    </row>
    <row r="20" spans="1:23" ht="24.75" customHeight="1">
      <c r="A20" s="113" t="s">
        <v>109</v>
      </c>
      <c r="B20" s="36"/>
      <c r="C20" s="37"/>
      <c r="D20" s="36"/>
      <c r="E20" s="36"/>
      <c r="F20" s="36"/>
      <c r="G20" s="36">
        <v>-129</v>
      </c>
      <c r="H20" s="36">
        <f t="shared" si="0"/>
        <v>-129</v>
      </c>
      <c r="I20" s="37"/>
      <c r="J20" s="117">
        <f>-243+275</f>
        <v>32</v>
      </c>
      <c r="K20" s="36"/>
      <c r="L20" s="36">
        <f>-1142+1185</f>
        <v>43</v>
      </c>
      <c r="M20" s="118">
        <f t="shared" si="1"/>
        <v>-54</v>
      </c>
      <c r="N20" s="37"/>
      <c r="O20" s="117">
        <f>-257+283</f>
        <v>26</v>
      </c>
      <c r="P20" s="36"/>
      <c r="Q20" s="36">
        <f>-1139+1225</f>
        <v>86</v>
      </c>
      <c r="R20" s="36">
        <f t="shared" si="2"/>
        <v>58</v>
      </c>
      <c r="S20" s="37"/>
      <c r="T20" s="117">
        <f>-269+291</f>
        <v>22</v>
      </c>
      <c r="U20" s="36"/>
      <c r="V20" s="36">
        <f>-1184+1266</f>
        <v>82</v>
      </c>
      <c r="W20" s="36">
        <f t="shared" si="3"/>
        <v>162</v>
      </c>
    </row>
    <row r="21" spans="1:23" ht="24.75" customHeight="1">
      <c r="A21" s="113" t="s">
        <v>110</v>
      </c>
      <c r="B21" s="36"/>
      <c r="C21" s="37"/>
      <c r="D21" s="36"/>
      <c r="E21" s="36"/>
      <c r="F21" s="36">
        <v>-150</v>
      </c>
      <c r="G21" s="36"/>
      <c r="H21" s="36">
        <f t="shared" si="0"/>
        <v>-150</v>
      </c>
      <c r="I21" s="37"/>
      <c r="J21" s="117"/>
      <c r="K21" s="36"/>
      <c r="L21" s="36"/>
      <c r="M21" s="118">
        <f t="shared" si="1"/>
        <v>-150</v>
      </c>
      <c r="N21" s="37"/>
      <c r="O21" s="117"/>
      <c r="P21" s="36"/>
      <c r="Q21" s="36"/>
      <c r="R21" s="36">
        <f t="shared" si="2"/>
        <v>-150</v>
      </c>
      <c r="S21" s="37"/>
      <c r="T21" s="117"/>
      <c r="U21" s="36"/>
      <c r="V21" s="36"/>
      <c r="W21" s="36">
        <f t="shared" si="3"/>
        <v>-150</v>
      </c>
    </row>
    <row r="22" spans="1:23" ht="24.75" customHeight="1">
      <c r="A22" s="113" t="s">
        <v>111</v>
      </c>
      <c r="B22" s="36"/>
      <c r="C22" s="37"/>
      <c r="D22" s="36"/>
      <c r="E22" s="36"/>
      <c r="F22" s="36">
        <v>-250</v>
      </c>
      <c r="G22" s="36"/>
      <c r="H22" s="36">
        <f t="shared" si="0"/>
        <v>-250</v>
      </c>
      <c r="I22" s="37"/>
      <c r="J22" s="117">
        <v>250</v>
      </c>
      <c r="K22" s="36"/>
      <c r="L22" s="36"/>
      <c r="M22" s="118">
        <f t="shared" si="1"/>
        <v>0</v>
      </c>
      <c r="N22" s="37"/>
      <c r="O22" s="117"/>
      <c r="P22" s="36"/>
      <c r="Q22" s="36"/>
      <c r="R22" s="36">
        <f t="shared" si="2"/>
        <v>0</v>
      </c>
      <c r="S22" s="37"/>
      <c r="T22" s="117"/>
      <c r="U22" s="36"/>
      <c r="V22" s="36"/>
      <c r="W22" s="36">
        <f t="shared" si="3"/>
        <v>0</v>
      </c>
    </row>
    <row r="23" spans="1:23" ht="24.75" customHeight="1">
      <c r="A23" s="113" t="s">
        <v>112</v>
      </c>
      <c r="B23" s="36">
        <v>0</v>
      </c>
      <c r="C23" s="37"/>
      <c r="D23" s="36"/>
      <c r="E23" s="36"/>
      <c r="F23" s="36"/>
      <c r="G23" s="36"/>
      <c r="H23" s="36">
        <f t="shared" si="0"/>
        <v>0</v>
      </c>
      <c r="I23" s="37"/>
      <c r="J23" s="117"/>
      <c r="K23" s="36">
        <v>-1022</v>
      </c>
      <c r="L23" s="36"/>
      <c r="M23" s="118">
        <f t="shared" si="1"/>
        <v>-1022</v>
      </c>
      <c r="N23" s="37"/>
      <c r="O23" s="117"/>
      <c r="P23" s="36">
        <v>-1053</v>
      </c>
      <c r="Q23" s="36"/>
      <c r="R23" s="36">
        <f t="shared" si="2"/>
        <v>-2075</v>
      </c>
      <c r="S23" s="37"/>
      <c r="T23" s="117"/>
      <c r="U23" s="36">
        <v>-1086</v>
      </c>
      <c r="V23" s="36"/>
      <c r="W23" s="36">
        <f t="shared" si="3"/>
        <v>-3161</v>
      </c>
    </row>
    <row r="24" spans="1:23" ht="24.75" customHeight="1">
      <c r="A24" s="119" t="s">
        <v>113</v>
      </c>
      <c r="B24" s="36"/>
      <c r="C24" s="37"/>
      <c r="D24" s="36"/>
      <c r="E24" s="36">
        <v>809</v>
      </c>
      <c r="F24" s="36"/>
      <c r="G24" s="36"/>
      <c r="H24" s="36">
        <f t="shared" si="0"/>
        <v>809</v>
      </c>
      <c r="I24" s="37"/>
      <c r="J24" s="117">
        <v>-809</v>
      </c>
      <c r="K24" s="36"/>
      <c r="L24" s="36"/>
      <c r="M24" s="118">
        <f t="shared" si="1"/>
        <v>0</v>
      </c>
      <c r="N24" s="37"/>
      <c r="O24" s="117"/>
      <c r="P24" s="36"/>
      <c r="Q24" s="36"/>
      <c r="R24" s="36">
        <f t="shared" si="2"/>
        <v>0</v>
      </c>
      <c r="S24" s="37"/>
      <c r="T24" s="117"/>
      <c r="U24" s="36"/>
      <c r="V24" s="36"/>
      <c r="W24" s="36">
        <f t="shared" si="3"/>
        <v>0</v>
      </c>
    </row>
    <row r="25" spans="1:23" ht="24.75" customHeight="1">
      <c r="A25" s="116"/>
      <c r="B25" s="29"/>
      <c r="C25" s="30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30"/>
      <c r="O25" s="29"/>
      <c r="P25" s="29"/>
      <c r="Q25" s="29"/>
      <c r="R25" s="29"/>
      <c r="S25" s="30"/>
      <c r="T25" s="29"/>
      <c r="U25" s="29"/>
      <c r="V25" s="29"/>
      <c r="W25" s="29"/>
    </row>
    <row r="26" spans="1:23" s="120" customFormat="1" ht="34.5" customHeight="1">
      <c r="A26" s="38" t="s">
        <v>46</v>
      </c>
      <c r="B26" s="33">
        <f>SUM(B17:B24)</f>
        <v>44538</v>
      </c>
      <c r="C26" s="33">
        <f>SUM(C6:C9)</f>
        <v>9</v>
      </c>
      <c r="D26" s="33">
        <f>SUM(D17:D24)</f>
        <v>-1008</v>
      </c>
      <c r="E26" s="33">
        <f>SUM(E17:E24)</f>
        <v>5649</v>
      </c>
      <c r="F26" s="33">
        <f>SUM(F17:F24)</f>
        <v>-1246</v>
      </c>
      <c r="G26" s="33">
        <f>SUM(G17:G24)</f>
        <v>969</v>
      </c>
      <c r="H26" s="33">
        <f>SUM(H17:H24)</f>
        <v>48902</v>
      </c>
      <c r="I26" s="33">
        <f>SUM(I6:I9)</f>
        <v>0</v>
      </c>
      <c r="J26" s="33">
        <f>SUM(J17:J24)</f>
        <v>-210</v>
      </c>
      <c r="K26" s="33">
        <f>SUM(K17:K24)</f>
        <v>-1022</v>
      </c>
      <c r="L26" s="33">
        <f>SUM(L17:L24)</f>
        <v>1185</v>
      </c>
      <c r="M26" s="33">
        <f>SUM(M17:M24)</f>
        <v>48855</v>
      </c>
      <c r="N26" s="33">
        <f>SUM(N6:N9)</f>
        <v>0</v>
      </c>
      <c r="O26" s="33">
        <f>SUM(O17:O24)</f>
        <v>283</v>
      </c>
      <c r="P26" s="33">
        <f>SUM(P17:P24)</f>
        <v>-1053</v>
      </c>
      <c r="Q26" s="33">
        <f>SUM(Q17:Q24)</f>
        <v>1225</v>
      </c>
      <c r="R26" s="33">
        <f>SUM(R17:R24)</f>
        <v>49310</v>
      </c>
      <c r="S26" s="33">
        <f>SUM(S6:S9)</f>
        <v>0</v>
      </c>
      <c r="T26" s="33">
        <f>SUM(T17:T24)</f>
        <v>291</v>
      </c>
      <c r="U26" s="33">
        <f>SUM(U17:U24)</f>
        <v>-1086</v>
      </c>
      <c r="V26" s="33">
        <f>SUM(V17:V24)</f>
        <v>1266.3319832884029</v>
      </c>
      <c r="W26" s="33">
        <f>SUM(W17:W24)</f>
        <v>49781.3319832884</v>
      </c>
    </row>
    <row r="27" spans="1:18" s="48" customFormat="1" ht="12.75" customHeight="1">
      <c r="A27" s="44"/>
      <c r="B27" s="45"/>
      <c r="C27" s="45"/>
      <c r="D27" s="45"/>
      <c r="E27" s="46"/>
      <c r="F27" s="46"/>
      <c r="G27" s="46"/>
      <c r="H27" s="47"/>
      <c r="I27" s="45"/>
      <c r="J27" s="46"/>
      <c r="K27" s="46"/>
      <c r="L27" s="46"/>
      <c r="M27" s="46"/>
      <c r="N27" s="46"/>
      <c r="O27" s="45"/>
      <c r="P27" s="45"/>
      <c r="Q27" s="45"/>
      <c r="R27" s="45"/>
    </row>
    <row r="28" ht="13.5" customHeight="1">
      <c r="A28" s="49" t="s">
        <v>47</v>
      </c>
    </row>
    <row r="29" ht="12.75">
      <c r="A29" s="49"/>
    </row>
    <row r="30" ht="12.75">
      <c r="A30" s="49" t="s">
        <v>114</v>
      </c>
    </row>
    <row r="31" ht="12.75">
      <c r="A31" s="49" t="s">
        <v>115</v>
      </c>
    </row>
    <row r="32" ht="12.75">
      <c r="A32" s="49" t="s">
        <v>116</v>
      </c>
    </row>
    <row r="33" ht="12.75">
      <c r="A33" s="49" t="s">
        <v>117</v>
      </c>
    </row>
  </sheetData>
  <mergeCells count="4">
    <mergeCell ref="A2:W2"/>
    <mergeCell ref="D4:H4"/>
    <mergeCell ref="J4:M4"/>
    <mergeCell ref="O4:R4"/>
  </mergeCells>
  <printOptions/>
  <pageMargins left="0.75" right="0.75" top="1" bottom="1" header="0.5" footer="0.5"/>
  <pageSetup fitToHeight="1" fitToWidth="1" horizontalDpi="600" verticalDpi="600" orientation="landscape" paperSize="9" scale="58" r:id="rId2"/>
  <headerFooter alignWithMargins="0">
    <oddHeader>&amp;CBUDGET MATRIX - OBJECTIVE ANALYSIS
&amp;RAppendix C</oddHeader>
    <oddFooter>&amp;L&amp;9&amp;Z&amp;F&amp;R108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workbookViewId="0" topLeftCell="A11">
      <pane xSplit="3" topLeftCell="Q1" activePane="topRight" state="frozen"/>
      <selection pane="topLeft" activeCell="F23" sqref="F23"/>
      <selection pane="topRight" activeCell="F23" sqref="F23"/>
    </sheetView>
  </sheetViews>
  <sheetFormatPr defaultColWidth="9.140625" defaultRowHeight="19.5" customHeight="1"/>
  <cols>
    <col min="1" max="1" width="30.140625" style="2" customWidth="1"/>
    <col min="2" max="2" width="9.7109375" style="2" customWidth="1"/>
    <col min="3" max="3" width="0.2890625" style="2" customWidth="1"/>
    <col min="4" max="4" width="12.57421875" style="2" customWidth="1"/>
    <col min="5" max="5" width="7.8515625" style="2" customWidth="1"/>
    <col min="6" max="6" width="10.7109375" style="2" customWidth="1"/>
    <col min="7" max="7" width="8.28125" style="2" customWidth="1"/>
    <col min="8" max="8" width="9.421875" style="2" customWidth="1"/>
    <col min="9" max="9" width="0.5625" style="2" customWidth="1"/>
    <col min="10" max="10" width="11.8515625" style="2" customWidth="1"/>
    <col min="11" max="11" width="10.8515625" style="2" customWidth="1"/>
    <col min="12" max="12" width="8.7109375" style="2" customWidth="1"/>
    <col min="13" max="13" width="9.421875" style="2" customWidth="1"/>
    <col min="14" max="14" width="0.42578125" style="2" customWidth="1"/>
    <col min="15" max="15" width="12.57421875" style="2" customWidth="1"/>
    <col min="16" max="16" width="11.421875" style="2" customWidth="1"/>
    <col min="17" max="17" width="8.8515625" style="2" customWidth="1"/>
    <col min="18" max="18" width="10.00390625" style="2" customWidth="1"/>
    <col min="19" max="19" width="0.42578125" style="2" customWidth="1"/>
    <col min="20" max="20" width="11.7109375" style="2" customWidth="1"/>
    <col min="21" max="21" width="10.8515625" style="2" customWidth="1"/>
    <col min="22" max="22" width="8.7109375" style="2" customWidth="1"/>
    <col min="23" max="23" width="10.00390625" style="2" customWidth="1"/>
    <col min="24" max="16384" width="9.140625" style="2" customWidth="1"/>
  </cols>
  <sheetData>
    <row r="1" spans="1:23" ht="19.5" customHeight="1">
      <c r="A1" s="64" t="s">
        <v>58</v>
      </c>
      <c r="B1" s="64"/>
      <c r="C1" s="6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>
      <c r="A2" s="132"/>
      <c r="B2" s="132"/>
      <c r="C2" s="1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5" customHeight="1">
      <c r="A3" s="55"/>
      <c r="B3" s="54" t="s">
        <v>20</v>
      </c>
      <c r="C3" s="1"/>
      <c r="D3" s="129" t="s">
        <v>0</v>
      </c>
      <c r="E3" s="130"/>
      <c r="F3" s="130"/>
      <c r="G3" s="130"/>
      <c r="H3" s="131"/>
      <c r="I3" s="59"/>
      <c r="J3" s="130" t="s">
        <v>1</v>
      </c>
      <c r="K3" s="130"/>
      <c r="L3" s="130"/>
      <c r="M3" s="130"/>
      <c r="N3" s="61"/>
      <c r="O3" s="130" t="s">
        <v>2</v>
      </c>
      <c r="P3" s="130"/>
      <c r="Q3" s="130"/>
      <c r="R3" s="130"/>
      <c r="S3" s="61"/>
      <c r="T3" s="3" t="s">
        <v>3</v>
      </c>
      <c r="U3" s="3"/>
      <c r="V3" s="3"/>
      <c r="W3" s="62"/>
    </row>
    <row r="4" spans="1:23" ht="114.75">
      <c r="A4" s="56" t="s">
        <v>21</v>
      </c>
      <c r="B4" s="23" t="s">
        <v>48</v>
      </c>
      <c r="C4" s="24"/>
      <c r="D4" s="25" t="s">
        <v>22</v>
      </c>
      <c r="E4" s="25" t="s">
        <v>23</v>
      </c>
      <c r="F4" s="25" t="s">
        <v>24</v>
      </c>
      <c r="G4" s="25" t="s">
        <v>25</v>
      </c>
      <c r="H4" s="27" t="s">
        <v>49</v>
      </c>
      <c r="I4" s="28"/>
      <c r="J4" s="25" t="s">
        <v>26</v>
      </c>
      <c r="K4" s="25" t="s">
        <v>27</v>
      </c>
      <c r="L4" s="25" t="s">
        <v>28</v>
      </c>
      <c r="M4" s="27" t="s">
        <v>50</v>
      </c>
      <c r="N4" s="28"/>
      <c r="O4" s="25" t="s">
        <v>29</v>
      </c>
      <c r="P4" s="25" t="s">
        <v>30</v>
      </c>
      <c r="Q4" s="25" t="s">
        <v>31</v>
      </c>
      <c r="R4" s="27" t="s">
        <v>51</v>
      </c>
      <c r="S4" s="28"/>
      <c r="T4" s="25" t="s">
        <v>32</v>
      </c>
      <c r="U4" s="25" t="s">
        <v>33</v>
      </c>
      <c r="V4" s="25" t="s">
        <v>34</v>
      </c>
      <c r="W4" s="23" t="s">
        <v>52</v>
      </c>
    </row>
    <row r="5" spans="1:23" s="8" customFormat="1" ht="24.75" customHeight="1">
      <c r="A5" s="4"/>
      <c r="B5" s="5"/>
      <c r="C5" s="6"/>
      <c r="D5" s="7"/>
      <c r="E5" s="7"/>
      <c r="F5" s="7"/>
      <c r="G5" s="53"/>
      <c r="H5" s="57"/>
      <c r="I5" s="60"/>
      <c r="J5" s="58"/>
      <c r="K5" s="7"/>
      <c r="L5" s="53"/>
      <c r="M5" s="57"/>
      <c r="N5" s="60"/>
      <c r="O5" s="58"/>
      <c r="P5" s="7"/>
      <c r="Q5" s="53"/>
      <c r="R5" s="57"/>
      <c r="S5" s="60"/>
      <c r="T5" s="58"/>
      <c r="U5" s="7"/>
      <c r="V5" s="53"/>
      <c r="W5" s="63"/>
    </row>
    <row r="6" spans="1:23" ht="24" customHeight="1">
      <c r="A6" s="67" t="s">
        <v>4</v>
      </c>
      <c r="B6" s="65">
        <v>412</v>
      </c>
      <c r="C6" s="68"/>
      <c r="D6" s="36">
        <f>-16+20</f>
        <v>4</v>
      </c>
      <c r="E6" s="36">
        <v>0</v>
      </c>
      <c r="F6" s="36">
        <v>-105</v>
      </c>
      <c r="G6" s="36">
        <f>52-20</f>
        <v>32</v>
      </c>
      <c r="H6" s="36">
        <f aca="true" t="shared" si="0" ref="H6:H12">SUM(B6:G6)</f>
        <v>343</v>
      </c>
      <c r="I6" s="36"/>
      <c r="J6" s="36">
        <f>22+73</f>
        <v>95</v>
      </c>
      <c r="K6" s="36">
        <v>0</v>
      </c>
      <c r="L6" s="36">
        <f>60-22</f>
        <v>38</v>
      </c>
      <c r="M6" s="36">
        <f aca="true" t="shared" si="1" ref="M6:M12">SUM(H6:L6)</f>
        <v>476</v>
      </c>
      <c r="N6" s="36"/>
      <c r="O6" s="36">
        <f>23</f>
        <v>23</v>
      </c>
      <c r="P6" s="36">
        <v>0</v>
      </c>
      <c r="Q6" s="36">
        <f>62-23</f>
        <v>39</v>
      </c>
      <c r="R6" s="36">
        <f aca="true" t="shared" si="2" ref="R6:R12">SUM(M6:Q6)</f>
        <v>538</v>
      </c>
      <c r="S6" s="36"/>
      <c r="T6" s="36">
        <f>24</f>
        <v>24</v>
      </c>
      <c r="U6" s="36">
        <v>0</v>
      </c>
      <c r="V6" s="36">
        <f>51-24</f>
        <v>27</v>
      </c>
      <c r="W6" s="33">
        <f aca="true" t="shared" si="3" ref="W6:W12">SUM(R6:V6)</f>
        <v>589</v>
      </c>
    </row>
    <row r="7" spans="1:23" ht="24" customHeight="1">
      <c r="A7" s="67" t="s">
        <v>5</v>
      </c>
      <c r="B7" s="65">
        <v>337</v>
      </c>
      <c r="C7" s="68"/>
      <c r="D7" s="36">
        <f>-14+8</f>
        <v>-6</v>
      </c>
      <c r="E7" s="36">
        <v>0</v>
      </c>
      <c r="F7" s="36">
        <v>-80</v>
      </c>
      <c r="G7" s="36">
        <f>55-8</f>
        <v>47</v>
      </c>
      <c r="H7" s="36">
        <f t="shared" si="0"/>
        <v>298</v>
      </c>
      <c r="I7" s="36"/>
      <c r="J7" s="36">
        <f>9</f>
        <v>9</v>
      </c>
      <c r="K7" s="36">
        <v>0</v>
      </c>
      <c r="L7" s="36">
        <f>60-9</f>
        <v>51</v>
      </c>
      <c r="M7" s="36">
        <f t="shared" si="1"/>
        <v>358</v>
      </c>
      <c r="N7" s="36"/>
      <c r="O7" s="36">
        <f>9</f>
        <v>9</v>
      </c>
      <c r="P7" s="36">
        <v>0</v>
      </c>
      <c r="Q7" s="36">
        <f>67-9</f>
        <v>58</v>
      </c>
      <c r="R7" s="36">
        <f t="shared" si="2"/>
        <v>425</v>
      </c>
      <c r="S7" s="36"/>
      <c r="T7" s="36">
        <f>9</f>
        <v>9</v>
      </c>
      <c r="U7" s="36">
        <v>0</v>
      </c>
      <c r="V7" s="36">
        <f>59-9</f>
        <v>50</v>
      </c>
      <c r="W7" s="33">
        <f t="shared" si="3"/>
        <v>484</v>
      </c>
    </row>
    <row r="8" spans="1:23" ht="24" customHeight="1">
      <c r="A8" s="67" t="s">
        <v>6</v>
      </c>
      <c r="B8" s="65">
        <v>1730</v>
      </c>
      <c r="C8" s="68"/>
      <c r="D8" s="36">
        <f>1+21+20</f>
        <v>42</v>
      </c>
      <c r="E8" s="36">
        <v>100</v>
      </c>
      <c r="F8" s="36">
        <v>-45</v>
      </c>
      <c r="G8" s="36">
        <f>97-21</f>
        <v>76</v>
      </c>
      <c r="H8" s="36">
        <f t="shared" si="0"/>
        <v>1903</v>
      </c>
      <c r="I8" s="36"/>
      <c r="J8" s="36">
        <f>23</f>
        <v>23</v>
      </c>
      <c r="K8" s="36">
        <v>0</v>
      </c>
      <c r="L8" s="36">
        <f>43+8-23</f>
        <v>28</v>
      </c>
      <c r="M8" s="36">
        <f t="shared" si="1"/>
        <v>1954</v>
      </c>
      <c r="N8" s="36"/>
      <c r="O8" s="36">
        <f>24</f>
        <v>24</v>
      </c>
      <c r="P8" s="36">
        <v>0</v>
      </c>
      <c r="Q8" s="36">
        <f>-45-1-24</f>
        <v>-70</v>
      </c>
      <c r="R8" s="36">
        <f t="shared" si="2"/>
        <v>1908</v>
      </c>
      <c r="S8" s="36"/>
      <c r="T8" s="36">
        <v>25</v>
      </c>
      <c r="U8" s="36">
        <v>0</v>
      </c>
      <c r="V8" s="36">
        <f>-500-25+340</f>
        <v>-185</v>
      </c>
      <c r="W8" s="33">
        <f t="shared" si="3"/>
        <v>1748</v>
      </c>
    </row>
    <row r="9" spans="1:23" ht="24" customHeight="1">
      <c r="A9" s="67" t="s">
        <v>7</v>
      </c>
      <c r="B9" s="65">
        <v>3090</v>
      </c>
      <c r="C9" s="68"/>
      <c r="D9" s="36">
        <f>-59+24</f>
        <v>-35</v>
      </c>
      <c r="E9" s="36">
        <v>0</v>
      </c>
      <c r="F9" s="36">
        <v>-94</v>
      </c>
      <c r="G9" s="36">
        <f>87-24</f>
        <v>63</v>
      </c>
      <c r="H9" s="36">
        <f t="shared" si="0"/>
        <v>3024</v>
      </c>
      <c r="I9" s="36"/>
      <c r="J9" s="36">
        <f>26+143</f>
        <v>169</v>
      </c>
      <c r="K9" s="36">
        <v>0</v>
      </c>
      <c r="L9" s="36">
        <f>106-26</f>
        <v>80</v>
      </c>
      <c r="M9" s="36">
        <f t="shared" si="1"/>
        <v>3273</v>
      </c>
      <c r="N9" s="36"/>
      <c r="O9" s="36">
        <f>27</f>
        <v>27</v>
      </c>
      <c r="P9" s="36">
        <v>0</v>
      </c>
      <c r="Q9" s="36">
        <f>107-27</f>
        <v>80</v>
      </c>
      <c r="R9" s="36">
        <f t="shared" si="2"/>
        <v>3380</v>
      </c>
      <c r="S9" s="36"/>
      <c r="T9" s="36">
        <v>28</v>
      </c>
      <c r="U9" s="36">
        <v>0</v>
      </c>
      <c r="V9" s="36">
        <f>140-28</f>
        <v>112</v>
      </c>
      <c r="W9" s="33">
        <f t="shared" si="3"/>
        <v>3520</v>
      </c>
    </row>
    <row r="10" spans="1:23" ht="24" customHeight="1">
      <c r="A10" s="67" t="s">
        <v>8</v>
      </c>
      <c r="B10" s="65">
        <v>728</v>
      </c>
      <c r="C10" s="68"/>
      <c r="D10" s="36">
        <f>-20+11</f>
        <v>-9</v>
      </c>
      <c r="E10" s="36">
        <v>0</v>
      </c>
      <c r="F10" s="36">
        <v>-50</v>
      </c>
      <c r="G10" s="36">
        <f>30-11</f>
        <v>19</v>
      </c>
      <c r="H10" s="36">
        <f t="shared" si="0"/>
        <v>688</v>
      </c>
      <c r="I10" s="36"/>
      <c r="J10" s="36">
        <f>12</f>
        <v>12</v>
      </c>
      <c r="K10" s="36">
        <v>0</v>
      </c>
      <c r="L10" s="36">
        <f>38-12</f>
        <v>26</v>
      </c>
      <c r="M10" s="36">
        <f t="shared" si="1"/>
        <v>726</v>
      </c>
      <c r="N10" s="36"/>
      <c r="O10" s="36">
        <f>13</f>
        <v>13</v>
      </c>
      <c r="P10" s="36">
        <v>0</v>
      </c>
      <c r="Q10" s="36">
        <f>42-13</f>
        <v>29</v>
      </c>
      <c r="R10" s="36">
        <f t="shared" si="2"/>
        <v>768</v>
      </c>
      <c r="S10" s="36"/>
      <c r="T10" s="36">
        <v>13</v>
      </c>
      <c r="U10" s="36">
        <v>0</v>
      </c>
      <c r="V10" s="36">
        <f>34-13</f>
        <v>21</v>
      </c>
      <c r="W10" s="33">
        <f t="shared" si="3"/>
        <v>802</v>
      </c>
    </row>
    <row r="11" spans="1:23" ht="24" customHeight="1">
      <c r="A11" s="67" t="s">
        <v>9</v>
      </c>
      <c r="B11" s="65">
        <v>3051</v>
      </c>
      <c r="C11" s="68"/>
      <c r="D11" s="36">
        <f>-82+37</f>
        <v>-45</v>
      </c>
      <c r="E11" s="36">
        <v>140</v>
      </c>
      <c r="F11" s="36">
        <v>-25</v>
      </c>
      <c r="G11" s="36">
        <f>90-37</f>
        <v>53</v>
      </c>
      <c r="H11" s="36">
        <f t="shared" si="0"/>
        <v>3174</v>
      </c>
      <c r="I11" s="36"/>
      <c r="J11" s="36">
        <f>40</f>
        <v>40</v>
      </c>
      <c r="K11" s="36">
        <v>0</v>
      </c>
      <c r="L11" s="36">
        <f>129-40</f>
        <v>89</v>
      </c>
      <c r="M11" s="36">
        <f t="shared" si="1"/>
        <v>3303</v>
      </c>
      <c r="N11" s="36"/>
      <c r="O11" s="36">
        <f>41</f>
        <v>41</v>
      </c>
      <c r="P11" s="36">
        <v>0</v>
      </c>
      <c r="Q11" s="36">
        <f>138-41</f>
        <v>97</v>
      </c>
      <c r="R11" s="36">
        <f t="shared" si="2"/>
        <v>3441</v>
      </c>
      <c r="S11" s="36"/>
      <c r="T11" s="36">
        <f>42</f>
        <v>42</v>
      </c>
      <c r="U11" s="36">
        <v>0</v>
      </c>
      <c r="V11" s="36">
        <f>189-42</f>
        <v>147</v>
      </c>
      <c r="W11" s="33">
        <f t="shared" si="3"/>
        <v>3630</v>
      </c>
    </row>
    <row r="12" spans="1:23" ht="24" customHeight="1">
      <c r="A12" s="67" t="s">
        <v>10</v>
      </c>
      <c r="B12" s="65">
        <v>2283</v>
      </c>
      <c r="C12" s="68"/>
      <c r="D12" s="36">
        <f>-45+24</f>
        <v>-21</v>
      </c>
      <c r="E12" s="36">
        <v>210</v>
      </c>
      <c r="F12" s="36">
        <v>-125</v>
      </c>
      <c r="G12" s="36">
        <f>74-24</f>
        <v>50</v>
      </c>
      <c r="H12" s="36">
        <f t="shared" si="0"/>
        <v>2397</v>
      </c>
      <c r="I12" s="36"/>
      <c r="J12" s="36">
        <f>26+7</f>
        <v>33</v>
      </c>
      <c r="K12" s="36">
        <v>0</v>
      </c>
      <c r="L12" s="36">
        <f>96-26</f>
        <v>70</v>
      </c>
      <c r="M12" s="36">
        <f t="shared" si="1"/>
        <v>2500</v>
      </c>
      <c r="N12" s="36"/>
      <c r="O12" s="36">
        <f>27</f>
        <v>27</v>
      </c>
      <c r="P12" s="36">
        <v>0</v>
      </c>
      <c r="Q12" s="36">
        <f>102-27</f>
        <v>75</v>
      </c>
      <c r="R12" s="36">
        <f t="shared" si="2"/>
        <v>2602</v>
      </c>
      <c r="S12" s="36"/>
      <c r="T12" s="36">
        <v>28</v>
      </c>
      <c r="U12" s="36">
        <v>0</v>
      </c>
      <c r="V12" s="36">
        <f>142-28</f>
        <v>114</v>
      </c>
      <c r="W12" s="33">
        <f t="shared" si="3"/>
        <v>2744</v>
      </c>
    </row>
    <row r="13" spans="1:23" ht="24" customHeight="1">
      <c r="A13" s="67" t="s">
        <v>11</v>
      </c>
      <c r="B13" s="67">
        <v>378</v>
      </c>
      <c r="C13" s="68"/>
      <c r="D13" s="36">
        <f>-18+8</f>
        <v>-10</v>
      </c>
      <c r="E13" s="36">
        <v>0</v>
      </c>
      <c r="F13" s="36">
        <v>-68</v>
      </c>
      <c r="G13" s="36">
        <f>31-8</f>
        <v>23</v>
      </c>
      <c r="H13" s="36">
        <f aca="true" t="shared" si="4" ref="H13:H21">SUM(B13:G13)</f>
        <v>323</v>
      </c>
      <c r="I13" s="36"/>
      <c r="J13" s="36">
        <f>9</f>
        <v>9</v>
      </c>
      <c r="K13" s="36"/>
      <c r="L13" s="36">
        <f>39-9</f>
        <v>30</v>
      </c>
      <c r="M13" s="36">
        <f aca="true" t="shared" si="5" ref="M13:M21">SUM(H13:L13)</f>
        <v>362</v>
      </c>
      <c r="N13" s="36"/>
      <c r="O13" s="36">
        <f>9</f>
        <v>9</v>
      </c>
      <c r="P13" s="36">
        <v>0</v>
      </c>
      <c r="Q13" s="36">
        <f>41-9</f>
        <v>32</v>
      </c>
      <c r="R13" s="36">
        <f aca="true" t="shared" si="6" ref="R13:R21">SUM(M13:Q13)</f>
        <v>403</v>
      </c>
      <c r="S13" s="36"/>
      <c r="T13" s="36">
        <v>9</v>
      </c>
      <c r="U13" s="36">
        <v>0</v>
      </c>
      <c r="V13" s="36">
        <f>44-9</f>
        <v>35</v>
      </c>
      <c r="W13" s="33">
        <f aca="true" t="shared" si="7" ref="W13:W21">SUM(R13:V13)</f>
        <v>447</v>
      </c>
    </row>
    <row r="14" spans="1:23" ht="24" customHeight="1">
      <c r="A14" s="67" t="s">
        <v>12</v>
      </c>
      <c r="B14" s="67">
        <v>2757</v>
      </c>
      <c r="C14" s="68"/>
      <c r="D14" s="36">
        <f>-13+7</f>
        <v>-6</v>
      </c>
      <c r="E14" s="36">
        <f>50+7</f>
        <v>57</v>
      </c>
      <c r="F14" s="36">
        <v>-21</v>
      </c>
      <c r="G14" s="36">
        <f>83-7</f>
        <v>76</v>
      </c>
      <c r="H14" s="36">
        <f t="shared" si="4"/>
        <v>2863</v>
      </c>
      <c r="I14" s="36"/>
      <c r="J14" s="36">
        <f>8</f>
        <v>8</v>
      </c>
      <c r="K14" s="36">
        <v>0</v>
      </c>
      <c r="L14" s="36">
        <f>95-8</f>
        <v>87</v>
      </c>
      <c r="M14" s="36">
        <f t="shared" si="5"/>
        <v>2958</v>
      </c>
      <c r="N14" s="36"/>
      <c r="O14" s="36">
        <f>8</f>
        <v>8</v>
      </c>
      <c r="P14" s="36">
        <v>0</v>
      </c>
      <c r="Q14" s="36">
        <f>108-8</f>
        <v>100</v>
      </c>
      <c r="R14" s="36">
        <f t="shared" si="6"/>
        <v>3066</v>
      </c>
      <c r="S14" s="36"/>
      <c r="T14" s="36">
        <f>8</f>
        <v>8</v>
      </c>
      <c r="U14" s="36">
        <v>0</v>
      </c>
      <c r="V14" s="36">
        <f>110-8</f>
        <v>102</v>
      </c>
      <c r="W14" s="33">
        <f t="shared" si="7"/>
        <v>3176</v>
      </c>
    </row>
    <row r="15" spans="1:23" ht="24" customHeight="1">
      <c r="A15" s="67" t="s">
        <v>13</v>
      </c>
      <c r="B15" s="65">
        <v>21895</v>
      </c>
      <c r="C15" s="68"/>
      <c r="D15" s="36">
        <f>-202+41</f>
        <v>-161</v>
      </c>
      <c r="E15" s="36">
        <f>2160+31+30+31+425</f>
        <v>2677</v>
      </c>
      <c r="F15" s="36">
        <f>-275-60</f>
        <v>-335</v>
      </c>
      <c r="G15" s="36">
        <f>428-41</f>
        <v>387</v>
      </c>
      <c r="H15" s="36">
        <f t="shared" si="4"/>
        <v>24463</v>
      </c>
      <c r="I15" s="36"/>
      <c r="J15" s="36">
        <f>45+317+25</f>
        <v>387</v>
      </c>
      <c r="K15" s="36">
        <v>0</v>
      </c>
      <c r="L15" s="36">
        <f>474-45</f>
        <v>429</v>
      </c>
      <c r="M15" s="36">
        <f t="shared" si="5"/>
        <v>25279</v>
      </c>
      <c r="N15" s="36"/>
      <c r="O15" s="36">
        <f>46</f>
        <v>46</v>
      </c>
      <c r="P15" s="36">
        <v>0</v>
      </c>
      <c r="Q15" s="36">
        <f>542-46</f>
        <v>496</v>
      </c>
      <c r="R15" s="36">
        <f t="shared" si="6"/>
        <v>25821</v>
      </c>
      <c r="S15" s="36"/>
      <c r="T15" s="36">
        <f>47</f>
        <v>47</v>
      </c>
      <c r="U15" s="36">
        <v>0</v>
      </c>
      <c r="V15" s="36">
        <f>534-47</f>
        <v>487</v>
      </c>
      <c r="W15" s="33">
        <f t="shared" si="7"/>
        <v>26355</v>
      </c>
    </row>
    <row r="16" spans="1:23" ht="24" customHeight="1">
      <c r="A16" s="67" t="s">
        <v>14</v>
      </c>
      <c r="B16" s="65">
        <v>1042</v>
      </c>
      <c r="C16" s="68"/>
      <c r="D16" s="36">
        <f>-26+10</f>
        <v>-16</v>
      </c>
      <c r="E16" s="36">
        <v>0</v>
      </c>
      <c r="F16" s="36">
        <v>-89</v>
      </c>
      <c r="G16" s="36">
        <f>36-10</f>
        <v>26</v>
      </c>
      <c r="H16" s="36">
        <f t="shared" si="4"/>
        <v>963</v>
      </c>
      <c r="I16" s="36"/>
      <c r="J16" s="36">
        <f>11</f>
        <v>11</v>
      </c>
      <c r="K16" s="36">
        <v>0</v>
      </c>
      <c r="L16" s="36">
        <f>49-11</f>
        <v>38</v>
      </c>
      <c r="M16" s="36">
        <f t="shared" si="5"/>
        <v>1012</v>
      </c>
      <c r="N16" s="36"/>
      <c r="O16" s="36">
        <f>11</f>
        <v>11</v>
      </c>
      <c r="P16" s="36">
        <v>0</v>
      </c>
      <c r="Q16" s="36">
        <f>55-11</f>
        <v>44</v>
      </c>
      <c r="R16" s="36">
        <f t="shared" si="6"/>
        <v>1067</v>
      </c>
      <c r="S16" s="36"/>
      <c r="T16" s="36">
        <f>12</f>
        <v>12</v>
      </c>
      <c r="U16" s="36">
        <v>0</v>
      </c>
      <c r="V16" s="36">
        <f>85-12</f>
        <v>73</v>
      </c>
      <c r="W16" s="33">
        <f t="shared" si="7"/>
        <v>1152</v>
      </c>
    </row>
    <row r="17" spans="1:23" ht="24" customHeight="1">
      <c r="A17" s="67" t="s">
        <v>15</v>
      </c>
      <c r="B17" s="65">
        <v>1096</v>
      </c>
      <c r="C17" s="68"/>
      <c r="D17" s="36">
        <f>-57+36</f>
        <v>-21</v>
      </c>
      <c r="E17" s="36">
        <v>0</v>
      </c>
      <c r="F17" s="36">
        <v>-149</v>
      </c>
      <c r="G17" s="36">
        <f>151-36</f>
        <v>115</v>
      </c>
      <c r="H17" s="36">
        <f t="shared" si="4"/>
        <v>1041</v>
      </c>
      <c r="I17" s="36"/>
      <c r="J17" s="36">
        <f>39</f>
        <v>39</v>
      </c>
      <c r="K17" s="36">
        <v>0</v>
      </c>
      <c r="L17" s="36">
        <f>165-39</f>
        <v>126</v>
      </c>
      <c r="M17" s="36">
        <f t="shared" si="5"/>
        <v>1206</v>
      </c>
      <c r="N17" s="36"/>
      <c r="O17" s="36">
        <f>40</f>
        <v>40</v>
      </c>
      <c r="P17" s="36">
        <v>0</v>
      </c>
      <c r="Q17" s="36">
        <f>190-40</f>
        <v>150</v>
      </c>
      <c r="R17" s="36">
        <f t="shared" si="6"/>
        <v>1396</v>
      </c>
      <c r="S17" s="36"/>
      <c r="T17" s="36">
        <f>41</f>
        <v>41</v>
      </c>
      <c r="U17" s="36">
        <v>0</v>
      </c>
      <c r="V17" s="36">
        <f>214-41</f>
        <v>173</v>
      </c>
      <c r="W17" s="33">
        <f t="shared" si="7"/>
        <v>1610</v>
      </c>
    </row>
    <row r="18" spans="1:23" ht="24" customHeight="1">
      <c r="A18" s="67" t="s">
        <v>16</v>
      </c>
      <c r="B18" s="65">
        <v>0</v>
      </c>
      <c r="C18" s="68"/>
      <c r="D18" s="36">
        <f>6</f>
        <v>6</v>
      </c>
      <c r="E18" s="36">
        <v>0</v>
      </c>
      <c r="F18" s="36">
        <f>-819-175</f>
        <v>-994</v>
      </c>
      <c r="G18" s="36">
        <v>-6</v>
      </c>
      <c r="H18" s="36">
        <f t="shared" si="4"/>
        <v>-994</v>
      </c>
      <c r="I18" s="36"/>
      <c r="J18" s="36">
        <f>6+9</f>
        <v>15</v>
      </c>
      <c r="K18" s="36">
        <v>0</v>
      </c>
      <c r="L18" s="36">
        <f>-6</f>
        <v>-6</v>
      </c>
      <c r="M18" s="36">
        <f t="shared" si="5"/>
        <v>-985</v>
      </c>
      <c r="N18" s="36"/>
      <c r="O18" s="36">
        <f>6</f>
        <v>6</v>
      </c>
      <c r="P18" s="36">
        <v>0</v>
      </c>
      <c r="Q18" s="36">
        <v>-6</v>
      </c>
      <c r="R18" s="36">
        <f t="shared" si="6"/>
        <v>-985</v>
      </c>
      <c r="S18" s="36"/>
      <c r="T18" s="36">
        <f>6</f>
        <v>6</v>
      </c>
      <c r="U18" s="36">
        <v>0</v>
      </c>
      <c r="V18" s="36">
        <v>-6</v>
      </c>
      <c r="W18" s="33">
        <f t="shared" si="7"/>
        <v>-985</v>
      </c>
    </row>
    <row r="19" spans="1:23" ht="24" customHeight="1">
      <c r="A19" s="67" t="s">
        <v>17</v>
      </c>
      <c r="B19" s="65">
        <v>6505</v>
      </c>
      <c r="C19" s="68"/>
      <c r="D19" s="36">
        <f>-115+42</f>
        <v>-73</v>
      </c>
      <c r="E19" s="36">
        <f>300+31</f>
        <v>331</v>
      </c>
      <c r="F19" s="36">
        <v>-46</v>
      </c>
      <c r="G19" s="36">
        <f>181-42</f>
        <v>139</v>
      </c>
      <c r="H19" s="36">
        <f>SUM(B19:G19)</f>
        <v>6856</v>
      </c>
      <c r="I19" s="36"/>
      <c r="J19" s="36">
        <f>46</f>
        <v>46</v>
      </c>
      <c r="K19" s="36">
        <v>-90</v>
      </c>
      <c r="L19" s="36">
        <f>224-46</f>
        <v>178</v>
      </c>
      <c r="M19" s="36">
        <f>SUM(H19:L19)</f>
        <v>6990</v>
      </c>
      <c r="N19" s="36"/>
      <c r="O19" s="36">
        <f>47</f>
        <v>47</v>
      </c>
      <c r="P19" s="36">
        <v>0</v>
      </c>
      <c r="Q19" s="36">
        <f>233-47</f>
        <v>186</v>
      </c>
      <c r="R19" s="36">
        <f>SUM(M19:Q19)</f>
        <v>7223</v>
      </c>
      <c r="S19" s="36"/>
      <c r="T19" s="36">
        <f>48</f>
        <v>48</v>
      </c>
      <c r="U19" s="36">
        <v>0</v>
      </c>
      <c r="V19" s="36">
        <f>254-48</f>
        <v>206</v>
      </c>
      <c r="W19" s="33">
        <f>SUM(R19:V19)</f>
        <v>7477</v>
      </c>
    </row>
    <row r="20" spans="1:23" ht="24" customHeight="1">
      <c r="A20" s="67" t="s">
        <v>18</v>
      </c>
      <c r="B20" s="65">
        <v>-89</v>
      </c>
      <c r="C20" s="68"/>
      <c r="D20" s="36">
        <v>-72</v>
      </c>
      <c r="E20" s="36">
        <v>0</v>
      </c>
      <c r="F20" s="36">
        <v>0</v>
      </c>
      <c r="G20" s="36">
        <v>-2</v>
      </c>
      <c r="H20" s="36">
        <f>SUM(B20:G20)</f>
        <v>-163</v>
      </c>
      <c r="I20" s="36"/>
      <c r="J20" s="36">
        <v>0</v>
      </c>
      <c r="K20" s="36"/>
      <c r="L20" s="36">
        <v>-2</v>
      </c>
      <c r="M20" s="36">
        <f>SUM(H20:L20)</f>
        <v>-165</v>
      </c>
      <c r="N20" s="36"/>
      <c r="O20" s="36">
        <v>0</v>
      </c>
      <c r="P20" s="36">
        <v>0</v>
      </c>
      <c r="Q20" s="36">
        <v>-2</v>
      </c>
      <c r="R20" s="36">
        <f>SUM(M20:Q20)</f>
        <v>-167</v>
      </c>
      <c r="S20" s="36"/>
      <c r="T20" s="36">
        <v>0</v>
      </c>
      <c r="U20" s="36">
        <v>0</v>
      </c>
      <c r="V20" s="36">
        <v>-2</v>
      </c>
      <c r="W20" s="33">
        <f>SUM(R20:V20)</f>
        <v>-169</v>
      </c>
    </row>
    <row r="21" spans="1:23" ht="24" customHeight="1">
      <c r="A21" s="67" t="s">
        <v>19</v>
      </c>
      <c r="B21" s="65">
        <v>0</v>
      </c>
      <c r="C21" s="68"/>
      <c r="D21" s="65">
        <v>0</v>
      </c>
      <c r="E21" s="65">
        <v>0</v>
      </c>
      <c r="F21" s="65">
        <v>-250</v>
      </c>
      <c r="G21" s="65">
        <v>0</v>
      </c>
      <c r="H21" s="69">
        <f t="shared" si="4"/>
        <v>-250</v>
      </c>
      <c r="I21" s="70"/>
      <c r="J21" s="71">
        <v>0</v>
      </c>
      <c r="K21" s="36">
        <f>-1357+90</f>
        <v>-1267</v>
      </c>
      <c r="L21" s="65">
        <v>0</v>
      </c>
      <c r="M21" s="36">
        <f t="shared" si="5"/>
        <v>-1517</v>
      </c>
      <c r="N21" s="72"/>
      <c r="O21" s="71">
        <v>0</v>
      </c>
      <c r="P21" s="36">
        <v>-1398</v>
      </c>
      <c r="Q21" s="36">
        <v>0</v>
      </c>
      <c r="R21" s="36">
        <f t="shared" si="6"/>
        <v>-2915</v>
      </c>
      <c r="S21" s="36"/>
      <c r="T21" s="36">
        <v>0</v>
      </c>
      <c r="U21" s="36">
        <v>-1440</v>
      </c>
      <c r="V21" s="36">
        <v>0</v>
      </c>
      <c r="W21" s="36">
        <f t="shared" si="7"/>
        <v>-4355</v>
      </c>
    </row>
    <row r="22" spans="1:23" s="12" customFormat="1" ht="24" customHeight="1">
      <c r="A22" s="66" t="s">
        <v>46</v>
      </c>
      <c r="B22" s="73">
        <f>SUM(B6:B21)</f>
        <v>45215</v>
      </c>
      <c r="D22" s="33">
        <f aca="true" t="shared" si="8" ref="D22:W22">SUM(D6:D21)</f>
        <v>-423</v>
      </c>
      <c r="E22" s="73">
        <f t="shared" si="8"/>
        <v>3515</v>
      </c>
      <c r="F22" s="33">
        <f t="shared" si="8"/>
        <v>-2476</v>
      </c>
      <c r="G22" s="33">
        <f t="shared" si="8"/>
        <v>1098</v>
      </c>
      <c r="H22" s="33">
        <f>SUM(H6:H21)</f>
        <v>46929</v>
      </c>
      <c r="I22" s="33"/>
      <c r="J22" s="33">
        <f>SUM(J6:J21)</f>
        <v>896</v>
      </c>
      <c r="K22" s="33">
        <f t="shared" si="8"/>
        <v>-1357</v>
      </c>
      <c r="L22" s="33">
        <f t="shared" si="8"/>
        <v>1262</v>
      </c>
      <c r="M22" s="33">
        <f t="shared" si="8"/>
        <v>47730</v>
      </c>
      <c r="N22" s="33"/>
      <c r="O22" s="33">
        <f t="shared" si="8"/>
        <v>331</v>
      </c>
      <c r="P22" s="33">
        <f t="shared" si="8"/>
        <v>-1398</v>
      </c>
      <c r="Q22" s="33">
        <f t="shared" si="8"/>
        <v>1308</v>
      </c>
      <c r="R22" s="33">
        <f t="shared" si="8"/>
        <v>47971</v>
      </c>
      <c r="S22" s="33"/>
      <c r="T22" s="33">
        <f t="shared" si="8"/>
        <v>340</v>
      </c>
      <c r="U22" s="33">
        <f t="shared" si="8"/>
        <v>-1440</v>
      </c>
      <c r="V22" s="33">
        <f t="shared" si="8"/>
        <v>1354</v>
      </c>
      <c r="W22" s="33">
        <f t="shared" si="8"/>
        <v>48225</v>
      </c>
    </row>
    <row r="23" s="9" customFormat="1" ht="19.5" customHeight="1">
      <c r="D23" s="10"/>
    </row>
    <row r="24" spans="2:4" s="9" customFormat="1" ht="19.5" customHeight="1">
      <c r="B24" s="11"/>
      <c r="D24" s="10"/>
    </row>
    <row r="25" spans="1:14" ht="12.75">
      <c r="A25" s="49" t="s">
        <v>47</v>
      </c>
      <c r="B25" s="14"/>
      <c r="G25" s="14"/>
      <c r="H25" s="14"/>
      <c r="J25" s="14"/>
      <c r="K25" s="14"/>
      <c r="L25" s="14"/>
      <c r="M25" s="14"/>
      <c r="N25" s="14"/>
    </row>
    <row r="26" spans="1:14" ht="12.75">
      <c r="A26" s="49" t="s">
        <v>114</v>
      </c>
      <c r="B26" s="14"/>
      <c r="G26" s="14"/>
      <c r="H26" s="14"/>
      <c r="J26" s="14"/>
      <c r="K26" s="14"/>
      <c r="L26" s="14"/>
      <c r="M26" s="14"/>
      <c r="N26" s="14"/>
    </row>
    <row r="27" spans="1:14" ht="12.75">
      <c r="A27" s="49" t="s">
        <v>115</v>
      </c>
      <c r="B27" s="14"/>
      <c r="G27" s="14"/>
      <c r="H27" s="14"/>
      <c r="J27" s="14"/>
      <c r="K27" s="14"/>
      <c r="L27" s="14"/>
      <c r="M27" s="14"/>
      <c r="N27" s="14"/>
    </row>
    <row r="28" spans="1:14" ht="12.75">
      <c r="A28" s="49" t="s">
        <v>116</v>
      </c>
      <c r="B28" s="14"/>
      <c r="G28" s="14"/>
      <c r="H28" s="14"/>
      <c r="J28" s="14"/>
      <c r="K28" s="14"/>
      <c r="L28" s="14"/>
      <c r="M28" s="14"/>
      <c r="N28" s="14"/>
    </row>
    <row r="29" spans="1:14" ht="12.75">
      <c r="A29" s="49" t="s">
        <v>117</v>
      </c>
      <c r="B29" s="14"/>
      <c r="G29" s="14"/>
      <c r="H29" s="14"/>
      <c r="J29" s="14"/>
      <c r="K29" s="14"/>
      <c r="L29" s="14"/>
      <c r="M29" s="14"/>
      <c r="N29" s="14"/>
    </row>
    <row r="30" spans="2:14" ht="12.75">
      <c r="B30" s="14"/>
      <c r="G30" s="14"/>
      <c r="H30" s="14"/>
      <c r="J30" s="14"/>
      <c r="K30" s="14"/>
      <c r="L30" s="14"/>
      <c r="M30" s="14"/>
      <c r="N30" s="14"/>
    </row>
    <row r="31" spans="2:14" ht="12.75">
      <c r="B31" s="14"/>
      <c r="G31" s="14"/>
      <c r="H31" s="14"/>
      <c r="J31" s="14"/>
      <c r="K31" s="14"/>
      <c r="L31" s="14"/>
      <c r="M31" s="14"/>
      <c r="N31" s="14"/>
    </row>
    <row r="32" ht="19.5" customHeight="1">
      <c r="D32" s="10"/>
    </row>
    <row r="33" ht="19.5" customHeight="1">
      <c r="D33" s="10"/>
    </row>
    <row r="34" ht="19.5" customHeight="1">
      <c r="D34" s="10"/>
    </row>
    <row r="35" ht="19.5" customHeight="1">
      <c r="D35" s="10"/>
    </row>
    <row r="36" ht="19.5" customHeight="1">
      <c r="D36" s="10"/>
    </row>
    <row r="37" ht="19.5" customHeight="1">
      <c r="D37" s="10"/>
    </row>
    <row r="38" ht="19.5" customHeight="1">
      <c r="D38" s="10"/>
    </row>
    <row r="39" ht="19.5" customHeight="1">
      <c r="D39" s="10"/>
    </row>
    <row r="40" ht="19.5" customHeight="1">
      <c r="D40" s="10"/>
    </row>
    <row r="41" ht="19.5" customHeight="1">
      <c r="D41" s="10"/>
    </row>
    <row r="42" ht="19.5" customHeight="1">
      <c r="D42" s="10"/>
    </row>
    <row r="43" ht="19.5" customHeight="1">
      <c r="D43" s="10"/>
    </row>
    <row r="44" ht="19.5" customHeight="1">
      <c r="D44" s="10"/>
    </row>
    <row r="45" ht="19.5" customHeight="1">
      <c r="D45" s="10"/>
    </row>
    <row r="46" ht="19.5" customHeight="1">
      <c r="D46" s="10"/>
    </row>
    <row r="47" ht="19.5" customHeight="1">
      <c r="D47" s="10"/>
    </row>
    <row r="48" ht="19.5" customHeight="1">
      <c r="D48" s="10"/>
    </row>
    <row r="49" ht="19.5" customHeight="1">
      <c r="D49" s="10"/>
    </row>
    <row r="50" ht="19.5" customHeight="1">
      <c r="D50" s="10"/>
    </row>
    <row r="51" ht="19.5" customHeight="1">
      <c r="D51" s="10"/>
    </row>
    <row r="52" ht="19.5" customHeight="1">
      <c r="D52" s="10"/>
    </row>
    <row r="53" ht="19.5" customHeight="1">
      <c r="D53" s="10"/>
    </row>
    <row r="54" ht="19.5" customHeight="1">
      <c r="D54" s="10"/>
    </row>
    <row r="55" ht="19.5" customHeight="1">
      <c r="D55" s="10"/>
    </row>
    <row r="56" ht="19.5" customHeight="1">
      <c r="D56" s="10"/>
    </row>
    <row r="57" ht="19.5" customHeight="1">
      <c r="D57" s="10"/>
    </row>
    <row r="58" ht="19.5" customHeight="1">
      <c r="D58" s="10"/>
    </row>
    <row r="59" ht="19.5" customHeight="1">
      <c r="D59" s="10"/>
    </row>
    <row r="60" ht="19.5" customHeight="1">
      <c r="D60" s="10"/>
    </row>
    <row r="61" ht="19.5" customHeight="1">
      <c r="D61" s="10"/>
    </row>
    <row r="62" ht="19.5" customHeight="1">
      <c r="D62" s="10"/>
    </row>
    <row r="63" ht="19.5" customHeight="1">
      <c r="D63" s="10"/>
    </row>
    <row r="64" ht="19.5" customHeight="1">
      <c r="D64" s="10"/>
    </row>
    <row r="65" ht="19.5" customHeight="1">
      <c r="D65" s="10"/>
    </row>
    <row r="66" ht="19.5" customHeight="1">
      <c r="D66" s="10"/>
    </row>
    <row r="67" ht="19.5" customHeight="1">
      <c r="D67" s="10"/>
    </row>
    <row r="68" ht="19.5" customHeight="1">
      <c r="D68" s="10"/>
    </row>
    <row r="69" ht="19.5" customHeight="1">
      <c r="D69" s="10"/>
    </row>
    <row r="70" ht="19.5" customHeight="1">
      <c r="D70" s="10"/>
    </row>
    <row r="71" ht="19.5" customHeight="1">
      <c r="D71" s="10"/>
    </row>
    <row r="72" ht="19.5" customHeight="1">
      <c r="D72" s="10"/>
    </row>
    <row r="73" ht="19.5" customHeight="1">
      <c r="D73" s="10"/>
    </row>
    <row r="74" ht="19.5" customHeight="1">
      <c r="D74" s="10"/>
    </row>
    <row r="75" ht="19.5" customHeight="1">
      <c r="D75" s="10"/>
    </row>
    <row r="76" ht="19.5" customHeight="1">
      <c r="D76" s="10"/>
    </row>
    <row r="77" ht="19.5" customHeight="1">
      <c r="D77" s="10"/>
    </row>
    <row r="78" ht="19.5" customHeight="1">
      <c r="D78" s="10"/>
    </row>
    <row r="79" ht="19.5" customHeight="1">
      <c r="D79" s="10"/>
    </row>
    <row r="80" ht="19.5" customHeight="1">
      <c r="D80" s="10"/>
    </row>
    <row r="81" ht="19.5" customHeight="1">
      <c r="D81" s="10"/>
    </row>
    <row r="82" ht="19.5" customHeight="1">
      <c r="D82" s="10"/>
    </row>
    <row r="83" ht="19.5" customHeight="1">
      <c r="D83" s="10"/>
    </row>
    <row r="84" ht="19.5" customHeight="1">
      <c r="D84" s="10"/>
    </row>
    <row r="85" ht="19.5" customHeight="1">
      <c r="D85" s="10"/>
    </row>
    <row r="86" ht="19.5" customHeight="1">
      <c r="D86" s="10"/>
    </row>
    <row r="87" ht="19.5" customHeight="1">
      <c r="D87" s="10"/>
    </row>
    <row r="88" ht="19.5" customHeight="1">
      <c r="D88" s="10"/>
    </row>
    <row r="89" ht="19.5" customHeight="1">
      <c r="D89" s="10"/>
    </row>
    <row r="90" ht="19.5" customHeight="1">
      <c r="D90" s="10"/>
    </row>
    <row r="91" ht="19.5" customHeight="1">
      <c r="D91" s="10"/>
    </row>
    <row r="92" ht="19.5" customHeight="1">
      <c r="D92" s="10"/>
    </row>
    <row r="93" ht="19.5" customHeight="1">
      <c r="D93" s="10"/>
    </row>
    <row r="94" ht="19.5" customHeight="1">
      <c r="D94" s="10"/>
    </row>
    <row r="95" ht="19.5" customHeight="1">
      <c r="D95" s="10"/>
    </row>
    <row r="96" ht="19.5" customHeight="1">
      <c r="D96" s="10"/>
    </row>
    <row r="97" ht="19.5" customHeight="1">
      <c r="D97" s="10"/>
    </row>
    <row r="98" ht="19.5" customHeight="1">
      <c r="D98" s="10"/>
    </row>
    <row r="99" ht="19.5" customHeight="1">
      <c r="D99" s="10"/>
    </row>
    <row r="100" ht="19.5" customHeight="1">
      <c r="D100" s="10"/>
    </row>
    <row r="101" ht="19.5" customHeight="1">
      <c r="D101" s="10"/>
    </row>
    <row r="102" ht="19.5" customHeight="1">
      <c r="D102" s="10"/>
    </row>
    <row r="103" ht="19.5" customHeight="1">
      <c r="D103" s="10"/>
    </row>
    <row r="104" ht="19.5" customHeight="1">
      <c r="D104" s="10"/>
    </row>
    <row r="105" ht="19.5" customHeight="1">
      <c r="D105" s="10"/>
    </row>
    <row r="106" ht="19.5" customHeight="1">
      <c r="D106" s="10"/>
    </row>
    <row r="107" ht="19.5" customHeight="1">
      <c r="D107" s="10"/>
    </row>
    <row r="108" ht="19.5" customHeight="1">
      <c r="D108" s="10"/>
    </row>
    <row r="109" ht="19.5" customHeight="1">
      <c r="D109" s="10"/>
    </row>
    <row r="110" ht="19.5" customHeight="1">
      <c r="D110" s="10"/>
    </row>
    <row r="111" ht="19.5" customHeight="1">
      <c r="D111" s="10"/>
    </row>
    <row r="112" ht="19.5" customHeight="1">
      <c r="D112" s="10"/>
    </row>
    <row r="113" ht="19.5" customHeight="1">
      <c r="D113" s="10"/>
    </row>
    <row r="114" ht="19.5" customHeight="1">
      <c r="D114" s="10"/>
    </row>
    <row r="115" ht="19.5" customHeight="1">
      <c r="D115" s="10"/>
    </row>
    <row r="116" ht="19.5" customHeight="1">
      <c r="D116" s="10"/>
    </row>
    <row r="117" ht="19.5" customHeight="1">
      <c r="D117" s="10"/>
    </row>
    <row r="118" ht="19.5" customHeight="1">
      <c r="D118" s="10"/>
    </row>
  </sheetData>
  <mergeCells count="4">
    <mergeCell ref="D3:H3"/>
    <mergeCell ref="J3:M3"/>
    <mergeCell ref="O3:R3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61" r:id="rId3"/>
  <headerFooter alignWithMargins="0">
    <oddHeader>&amp;CBUDGET MATRIX - OBJECTIVE ANALYSIS
&amp;RAppendix C</oddHeader>
    <oddFooter>&amp;L&amp;Z&amp;F&amp;R109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workbookViewId="0" topLeftCell="L53">
      <selection activeCell="F23" sqref="F23"/>
    </sheetView>
  </sheetViews>
  <sheetFormatPr defaultColWidth="9.140625" defaultRowHeight="12.75"/>
  <cols>
    <col min="1" max="1" width="35.00390625" style="0" customWidth="1"/>
    <col min="2" max="2" width="10.140625" style="0" customWidth="1"/>
    <col min="3" max="3" width="0.5625" style="0" customWidth="1"/>
    <col min="4" max="4" width="12.140625" style="0" customWidth="1"/>
    <col min="5" max="5" width="7.8515625" style="0" customWidth="1"/>
    <col min="6" max="6" width="11.140625" style="0" customWidth="1"/>
    <col min="7" max="7" width="9.140625" style="82" customWidth="1"/>
    <col min="8" max="8" width="9.8515625" style="0" customWidth="1"/>
    <col min="9" max="9" width="0.42578125" style="0" customWidth="1"/>
    <col min="10" max="10" width="11.7109375" style="0" customWidth="1"/>
    <col min="11" max="11" width="11.8515625" style="0" customWidth="1"/>
    <col min="13" max="13" width="10.00390625" style="0" customWidth="1"/>
    <col min="14" max="14" width="0.5625" style="0" customWidth="1"/>
    <col min="15" max="15" width="12.00390625" style="0" customWidth="1"/>
    <col min="16" max="16" width="10.8515625" style="0" customWidth="1"/>
    <col min="18" max="18" width="10.28125" style="0" customWidth="1"/>
    <col min="19" max="19" width="0.42578125" style="0" customWidth="1"/>
    <col min="20" max="20" width="10.8515625" style="0" customWidth="1"/>
    <col min="21" max="21" width="11.28125" style="0" customWidth="1"/>
    <col min="23" max="23" width="10.28125" style="0" customWidth="1"/>
  </cols>
  <sheetData>
    <row r="1" spans="1:39" ht="12.75">
      <c r="A1" s="49"/>
      <c r="B1" s="74"/>
      <c r="C1" s="74"/>
      <c r="D1" s="74"/>
      <c r="E1" s="74"/>
      <c r="F1" s="74"/>
      <c r="G1" s="108"/>
      <c r="H1" s="74"/>
      <c r="K1" s="14"/>
      <c r="L1" s="14"/>
      <c r="M1" s="14"/>
      <c r="N1" s="75"/>
      <c r="O1" s="75"/>
      <c r="P1" s="75"/>
      <c r="Q1" s="75"/>
      <c r="R1" s="14"/>
      <c r="S1" s="14"/>
      <c r="T1" s="14"/>
      <c r="U1" s="14"/>
      <c r="V1" s="14"/>
      <c r="W1" s="75"/>
      <c r="X1" s="75"/>
      <c r="Y1" s="75"/>
      <c r="Z1" s="75"/>
      <c r="AE1" s="49"/>
      <c r="AF1" s="49"/>
      <c r="AG1" s="49"/>
      <c r="AH1" s="49"/>
      <c r="AM1" s="49"/>
    </row>
    <row r="2" spans="1:39" ht="18">
      <c r="A2" s="76" t="s">
        <v>118</v>
      </c>
      <c r="B2" s="74"/>
      <c r="C2" s="74"/>
      <c r="D2" s="74"/>
      <c r="E2" s="74"/>
      <c r="F2" s="74"/>
      <c r="G2" s="108"/>
      <c r="H2" s="74"/>
      <c r="R2" s="14"/>
      <c r="S2" s="14"/>
      <c r="T2" s="14"/>
      <c r="U2" s="14"/>
      <c r="V2" s="14"/>
      <c r="W2" s="75"/>
      <c r="X2" s="75"/>
      <c r="Y2" s="75"/>
      <c r="Z2" s="75"/>
      <c r="AE2" s="49"/>
      <c r="AF2" s="49"/>
      <c r="AG2" s="49"/>
      <c r="AH2" s="49"/>
      <c r="AM2" s="49"/>
    </row>
    <row r="3" spans="1:39" ht="18">
      <c r="A3" s="76"/>
      <c r="B3" s="74"/>
      <c r="C3" s="74"/>
      <c r="D3" s="74"/>
      <c r="E3" s="74"/>
      <c r="F3" s="74"/>
      <c r="G3" s="108"/>
      <c r="H3" s="74"/>
      <c r="R3" s="14"/>
      <c r="S3" s="14"/>
      <c r="T3" s="14"/>
      <c r="U3" s="14"/>
      <c r="V3" s="14"/>
      <c r="W3" s="75"/>
      <c r="X3" s="75"/>
      <c r="Y3" s="75"/>
      <c r="Z3" s="75"/>
      <c r="AE3" s="49"/>
      <c r="AF3" s="49"/>
      <c r="AG3" s="49"/>
      <c r="AH3" s="49"/>
      <c r="AM3" s="49"/>
    </row>
    <row r="5" spans="1:23" ht="15.75">
      <c r="A5" s="15"/>
      <c r="B5" s="77" t="s">
        <v>20</v>
      </c>
      <c r="C5" s="78"/>
      <c r="D5" s="133" t="s">
        <v>0</v>
      </c>
      <c r="E5" s="134"/>
      <c r="F5" s="134"/>
      <c r="G5" s="134"/>
      <c r="H5" s="135"/>
      <c r="I5" s="79"/>
      <c r="J5" s="136" t="s">
        <v>1</v>
      </c>
      <c r="K5" s="137"/>
      <c r="L5" s="137"/>
      <c r="M5" s="137"/>
      <c r="N5" s="89"/>
      <c r="O5" s="136" t="s">
        <v>2</v>
      </c>
      <c r="P5" s="137"/>
      <c r="Q5" s="137"/>
      <c r="R5" s="137"/>
      <c r="S5" s="89"/>
      <c r="T5" s="136" t="s">
        <v>3</v>
      </c>
      <c r="U5" s="137"/>
      <c r="V5" s="137"/>
      <c r="W5" s="138"/>
    </row>
    <row r="6" spans="1:23" ht="102">
      <c r="A6" s="22" t="s">
        <v>21</v>
      </c>
      <c r="B6" s="23" t="s">
        <v>48</v>
      </c>
      <c r="C6" s="24"/>
      <c r="D6" s="25" t="s">
        <v>22</v>
      </c>
      <c r="E6" s="25" t="s">
        <v>23</v>
      </c>
      <c r="F6" s="25" t="s">
        <v>24</v>
      </c>
      <c r="G6" s="109" t="s">
        <v>25</v>
      </c>
      <c r="H6" s="23" t="s">
        <v>49</v>
      </c>
      <c r="I6" s="26"/>
      <c r="J6" s="25" t="s">
        <v>26</v>
      </c>
      <c r="K6" s="25" t="s">
        <v>27</v>
      </c>
      <c r="L6" s="25" t="s">
        <v>28</v>
      </c>
      <c r="M6" s="27" t="s">
        <v>50</v>
      </c>
      <c r="N6" s="28"/>
      <c r="O6" s="25" t="s">
        <v>29</v>
      </c>
      <c r="P6" s="25" t="s">
        <v>30</v>
      </c>
      <c r="Q6" s="25" t="s">
        <v>31</v>
      </c>
      <c r="R6" s="23" t="s">
        <v>51</v>
      </c>
      <c r="S6" s="28"/>
      <c r="T6" s="25" t="s">
        <v>32</v>
      </c>
      <c r="U6" s="25" t="s">
        <v>33</v>
      </c>
      <c r="V6" s="25" t="s">
        <v>34</v>
      </c>
      <c r="W6" s="23" t="s">
        <v>52</v>
      </c>
    </row>
    <row r="7" spans="1:23" ht="15.75">
      <c r="A7" s="83"/>
      <c r="B7" s="33"/>
      <c r="C7" s="34"/>
      <c r="D7" s="84"/>
      <c r="E7" s="84"/>
      <c r="F7" s="33"/>
      <c r="G7" s="87"/>
      <c r="H7" s="40"/>
      <c r="I7" s="34"/>
      <c r="J7" s="84"/>
      <c r="K7" s="33"/>
      <c r="L7" s="33"/>
      <c r="M7" s="33"/>
      <c r="N7" s="34"/>
      <c r="O7" s="84"/>
      <c r="P7" s="33"/>
      <c r="Q7" s="33"/>
      <c r="R7" s="33"/>
      <c r="S7" s="85"/>
      <c r="T7" s="84"/>
      <c r="U7" s="33"/>
      <c r="V7" s="33"/>
      <c r="W7" s="33"/>
    </row>
    <row r="8" spans="1:23" ht="30" customHeight="1">
      <c r="A8" s="101" t="s">
        <v>59</v>
      </c>
      <c r="B8" s="29"/>
      <c r="C8" s="30"/>
      <c r="D8" s="86"/>
      <c r="E8" s="86"/>
      <c r="F8" s="93"/>
      <c r="G8" s="93" t="s">
        <v>60</v>
      </c>
      <c r="H8" s="94"/>
      <c r="I8" s="95"/>
      <c r="J8" s="86"/>
      <c r="K8" s="93"/>
      <c r="L8" s="93"/>
      <c r="M8" s="93"/>
      <c r="N8" s="95"/>
      <c r="O8" s="86"/>
      <c r="P8" s="93"/>
      <c r="Q8" s="93"/>
      <c r="R8" s="93"/>
      <c r="S8" s="86"/>
      <c r="T8" s="86"/>
      <c r="U8" s="93"/>
      <c r="V8" s="93"/>
      <c r="W8" s="93"/>
    </row>
    <row r="9" spans="1:23" ht="30" customHeight="1">
      <c r="A9" s="91" t="s">
        <v>61</v>
      </c>
      <c r="B9" s="29">
        <v>37</v>
      </c>
      <c r="C9" s="30"/>
      <c r="D9" s="86">
        <v>0</v>
      </c>
      <c r="E9" s="86">
        <v>0</v>
      </c>
      <c r="F9" s="93">
        <v>0</v>
      </c>
      <c r="G9" s="93">
        <v>1</v>
      </c>
      <c r="H9" s="94">
        <f aca="true" t="shared" si="0" ref="H9:H14">SUM(B9:G9)</f>
        <v>38</v>
      </c>
      <c r="I9" s="95"/>
      <c r="J9" s="86">
        <v>0</v>
      </c>
      <c r="K9" s="93">
        <v>0</v>
      </c>
      <c r="L9" s="93">
        <v>1</v>
      </c>
      <c r="M9" s="93">
        <f>SUM(H9:L9)</f>
        <v>39</v>
      </c>
      <c r="N9" s="95"/>
      <c r="O9" s="86">
        <v>0</v>
      </c>
      <c r="P9" s="93">
        <v>0</v>
      </c>
      <c r="Q9" s="93">
        <v>1</v>
      </c>
      <c r="R9" s="93">
        <f>SUM(M9:Q9)</f>
        <v>40</v>
      </c>
      <c r="S9" s="86"/>
      <c r="T9" s="86">
        <v>0</v>
      </c>
      <c r="U9" s="93">
        <v>0</v>
      </c>
      <c r="V9" s="93">
        <v>1</v>
      </c>
      <c r="W9" s="93">
        <f>SUM(R9:V9)</f>
        <v>41</v>
      </c>
    </row>
    <row r="10" spans="1:23" ht="30" customHeight="1">
      <c r="A10" s="91" t="s">
        <v>62</v>
      </c>
      <c r="B10" s="29">
        <v>65</v>
      </c>
      <c r="C10" s="30"/>
      <c r="D10" s="86">
        <v>0</v>
      </c>
      <c r="E10" s="86">
        <v>0</v>
      </c>
      <c r="F10" s="93">
        <v>-16</v>
      </c>
      <c r="G10" s="93">
        <v>6</v>
      </c>
      <c r="H10" s="94">
        <f t="shared" si="0"/>
        <v>55</v>
      </c>
      <c r="I10" s="95"/>
      <c r="J10" s="86">
        <v>0</v>
      </c>
      <c r="K10" s="93">
        <v>0</v>
      </c>
      <c r="L10" s="93">
        <v>7</v>
      </c>
      <c r="M10" s="93">
        <f aca="true" t="shared" si="1" ref="M10:M15">SUM(H10:L10)</f>
        <v>62</v>
      </c>
      <c r="N10" s="95"/>
      <c r="O10" s="86">
        <v>0</v>
      </c>
      <c r="P10" s="93">
        <v>0</v>
      </c>
      <c r="Q10" s="93">
        <v>7</v>
      </c>
      <c r="R10" s="93">
        <f aca="true" t="shared" si="2" ref="R10:R15">SUM(M10:Q10)</f>
        <v>69</v>
      </c>
      <c r="S10" s="86"/>
      <c r="T10" s="86">
        <v>0</v>
      </c>
      <c r="U10" s="93">
        <v>0</v>
      </c>
      <c r="V10" s="93">
        <v>7</v>
      </c>
      <c r="W10" s="93">
        <f aca="true" t="shared" si="3" ref="W10:W15">SUM(R10:V10)</f>
        <v>76</v>
      </c>
    </row>
    <row r="11" spans="1:23" ht="30" customHeight="1">
      <c r="A11" s="91" t="s">
        <v>63</v>
      </c>
      <c r="B11" s="33">
        <v>4304</v>
      </c>
      <c r="C11" s="34"/>
      <c r="D11" s="87">
        <v>26</v>
      </c>
      <c r="E11" s="87">
        <v>0</v>
      </c>
      <c r="F11" s="87">
        <v>0</v>
      </c>
      <c r="G11" s="87">
        <v>102</v>
      </c>
      <c r="H11" s="97">
        <f t="shared" si="0"/>
        <v>4432</v>
      </c>
      <c r="I11" s="96"/>
      <c r="J11" s="87">
        <v>74</v>
      </c>
      <c r="K11" s="87">
        <v>0</v>
      </c>
      <c r="L11" s="87">
        <v>153</v>
      </c>
      <c r="M11" s="93">
        <f t="shared" si="1"/>
        <v>4659</v>
      </c>
      <c r="N11" s="96"/>
      <c r="O11" s="87">
        <v>71</v>
      </c>
      <c r="P11" s="87">
        <v>0</v>
      </c>
      <c r="Q11" s="87">
        <v>161</v>
      </c>
      <c r="R11" s="93">
        <f t="shared" si="2"/>
        <v>4891</v>
      </c>
      <c r="S11" s="87"/>
      <c r="T11" s="87">
        <v>60</v>
      </c>
      <c r="U11" s="87">
        <v>0</v>
      </c>
      <c r="V11" s="87">
        <v>164</v>
      </c>
      <c r="W11" s="93">
        <f t="shared" si="3"/>
        <v>5115</v>
      </c>
    </row>
    <row r="12" spans="1:23" ht="30" customHeight="1">
      <c r="A12" s="91" t="s">
        <v>64</v>
      </c>
      <c r="B12" s="33">
        <v>3730</v>
      </c>
      <c r="C12" s="34"/>
      <c r="D12" s="85">
        <v>-10</v>
      </c>
      <c r="E12" s="85">
        <v>0</v>
      </c>
      <c r="F12" s="87">
        <v>-282</v>
      </c>
      <c r="G12" s="87">
        <v>-22</v>
      </c>
      <c r="H12" s="97">
        <f t="shared" si="0"/>
        <v>3416</v>
      </c>
      <c r="I12" s="96"/>
      <c r="J12" s="85">
        <v>-6</v>
      </c>
      <c r="K12" s="87">
        <v>0</v>
      </c>
      <c r="L12" s="87">
        <v>20</v>
      </c>
      <c r="M12" s="93">
        <f t="shared" si="1"/>
        <v>3430</v>
      </c>
      <c r="N12" s="96"/>
      <c r="O12" s="85">
        <v>-6</v>
      </c>
      <c r="P12" s="87">
        <v>0</v>
      </c>
      <c r="Q12" s="87">
        <v>27</v>
      </c>
      <c r="R12" s="93">
        <f t="shared" si="2"/>
        <v>3451</v>
      </c>
      <c r="S12" s="85"/>
      <c r="T12" s="85">
        <v>17</v>
      </c>
      <c r="U12" s="87">
        <v>0</v>
      </c>
      <c r="V12" s="87">
        <v>31</v>
      </c>
      <c r="W12" s="93">
        <f t="shared" si="3"/>
        <v>3499</v>
      </c>
    </row>
    <row r="13" spans="1:23" ht="30" customHeight="1">
      <c r="A13" s="91" t="s">
        <v>65</v>
      </c>
      <c r="B13" s="29">
        <v>-311</v>
      </c>
      <c r="C13" s="30"/>
      <c r="D13" s="86">
        <v>0</v>
      </c>
      <c r="E13" s="86">
        <v>0</v>
      </c>
      <c r="F13" s="93">
        <v>0</v>
      </c>
      <c r="G13" s="93">
        <v>0</v>
      </c>
      <c r="H13" s="94">
        <f t="shared" si="0"/>
        <v>-311</v>
      </c>
      <c r="I13" s="95"/>
      <c r="J13" s="86">
        <v>0</v>
      </c>
      <c r="K13" s="93">
        <v>0</v>
      </c>
      <c r="L13" s="93">
        <v>0</v>
      </c>
      <c r="M13" s="93">
        <f t="shared" si="1"/>
        <v>-311</v>
      </c>
      <c r="N13" s="95"/>
      <c r="O13" s="86">
        <v>0</v>
      </c>
      <c r="P13" s="93">
        <v>0</v>
      </c>
      <c r="Q13" s="93">
        <v>0</v>
      </c>
      <c r="R13" s="93">
        <f t="shared" si="2"/>
        <v>-311</v>
      </c>
      <c r="S13" s="86"/>
      <c r="T13" s="86">
        <v>0</v>
      </c>
      <c r="U13" s="93">
        <v>0</v>
      </c>
      <c r="V13" s="93">
        <v>0</v>
      </c>
      <c r="W13" s="93">
        <f t="shared" si="3"/>
        <v>-311</v>
      </c>
    </row>
    <row r="14" spans="1:23" ht="30" customHeight="1">
      <c r="A14" s="91" t="s">
        <v>66</v>
      </c>
      <c r="B14" s="29">
        <v>23</v>
      </c>
      <c r="C14" s="30"/>
      <c r="D14" s="86">
        <v>-311</v>
      </c>
      <c r="E14" s="86">
        <v>0</v>
      </c>
      <c r="F14" s="93">
        <v>-3</v>
      </c>
      <c r="G14" s="98">
        <v>0</v>
      </c>
      <c r="H14" s="94">
        <f t="shared" si="0"/>
        <v>-291</v>
      </c>
      <c r="I14" s="95"/>
      <c r="J14" s="86">
        <v>0</v>
      </c>
      <c r="K14" s="93">
        <v>0</v>
      </c>
      <c r="L14" s="98">
        <v>-6</v>
      </c>
      <c r="M14" s="93">
        <f t="shared" si="1"/>
        <v>-297</v>
      </c>
      <c r="N14" s="95"/>
      <c r="O14" s="86">
        <v>0</v>
      </c>
      <c r="P14" s="93">
        <v>0</v>
      </c>
      <c r="Q14" s="98">
        <v>-6</v>
      </c>
      <c r="R14" s="93">
        <f t="shared" si="2"/>
        <v>-303</v>
      </c>
      <c r="S14" s="86"/>
      <c r="T14" s="86">
        <v>0</v>
      </c>
      <c r="U14" s="93">
        <v>0</v>
      </c>
      <c r="V14" s="98">
        <v>-7</v>
      </c>
      <c r="W14" s="93">
        <f t="shared" si="3"/>
        <v>-310</v>
      </c>
    </row>
    <row r="15" spans="1:23" ht="30" customHeight="1">
      <c r="A15" s="91" t="s">
        <v>67</v>
      </c>
      <c r="B15" s="29">
        <v>7848</v>
      </c>
      <c r="C15" s="30"/>
      <c r="D15" s="86">
        <f>SUM(D9:D14)</f>
        <v>-295</v>
      </c>
      <c r="E15" s="86">
        <f>SUM(E9:E14)</f>
        <v>0</v>
      </c>
      <c r="F15" s="86">
        <f>SUM(F9:F14)</f>
        <v>-301</v>
      </c>
      <c r="G15" s="86">
        <f>SUM(G9:G14)</f>
        <v>87</v>
      </c>
      <c r="H15" s="86">
        <f>SUM(H9:H14)</f>
        <v>7339</v>
      </c>
      <c r="I15" s="95"/>
      <c r="J15" s="86">
        <v>68</v>
      </c>
      <c r="K15" s="93">
        <v>0</v>
      </c>
      <c r="L15" s="98">
        <v>175</v>
      </c>
      <c r="M15" s="93">
        <f t="shared" si="1"/>
        <v>7582</v>
      </c>
      <c r="N15" s="95"/>
      <c r="O15" s="86">
        <v>65</v>
      </c>
      <c r="P15" s="93">
        <v>0</v>
      </c>
      <c r="Q15" s="98">
        <v>190</v>
      </c>
      <c r="R15" s="93">
        <f t="shared" si="2"/>
        <v>7837</v>
      </c>
      <c r="S15" s="86"/>
      <c r="T15" s="86">
        <v>77</v>
      </c>
      <c r="U15" s="93">
        <v>0</v>
      </c>
      <c r="V15" s="98">
        <v>196</v>
      </c>
      <c r="W15" s="93">
        <f t="shared" si="3"/>
        <v>8110</v>
      </c>
    </row>
    <row r="16" spans="1:23" ht="30" customHeight="1">
      <c r="A16" s="92"/>
      <c r="B16" s="33"/>
      <c r="C16" s="34"/>
      <c r="D16" s="87"/>
      <c r="E16" s="87"/>
      <c r="F16" s="87"/>
      <c r="G16" s="87"/>
      <c r="H16" s="87"/>
      <c r="I16" s="96"/>
      <c r="J16" s="87"/>
      <c r="K16" s="87"/>
      <c r="L16" s="87"/>
      <c r="M16" s="87">
        <v>0</v>
      </c>
      <c r="N16" s="96"/>
      <c r="O16" s="87"/>
      <c r="P16" s="87"/>
      <c r="Q16" s="87"/>
      <c r="R16" s="87">
        <v>0</v>
      </c>
      <c r="S16" s="87"/>
      <c r="T16" s="87"/>
      <c r="U16" s="87"/>
      <c r="V16" s="87"/>
      <c r="W16" s="87">
        <v>0</v>
      </c>
    </row>
    <row r="17" spans="1:23" ht="30" customHeight="1">
      <c r="A17" s="102" t="s">
        <v>68</v>
      </c>
      <c r="B17" s="33"/>
      <c r="C17" s="34"/>
      <c r="D17" s="87"/>
      <c r="E17" s="87"/>
      <c r="F17" s="87"/>
      <c r="G17" s="87"/>
      <c r="H17" s="97"/>
      <c r="I17" s="96"/>
      <c r="J17" s="87"/>
      <c r="K17" s="87"/>
      <c r="L17" s="87"/>
      <c r="M17" s="87">
        <v>0</v>
      </c>
      <c r="N17" s="96"/>
      <c r="O17" s="85"/>
      <c r="P17" s="87"/>
      <c r="Q17" s="87"/>
      <c r="R17" s="87">
        <v>0</v>
      </c>
      <c r="S17" s="85"/>
      <c r="T17" s="85"/>
      <c r="U17" s="87"/>
      <c r="V17" s="87"/>
      <c r="W17" s="87">
        <v>0</v>
      </c>
    </row>
    <row r="18" spans="1:23" ht="30" customHeight="1">
      <c r="A18" s="92" t="s">
        <v>69</v>
      </c>
      <c r="B18" s="29">
        <v>1235</v>
      </c>
      <c r="C18" s="30"/>
      <c r="D18" s="93">
        <v>8</v>
      </c>
      <c r="E18" s="93">
        <v>0</v>
      </c>
      <c r="F18" s="93">
        <v>-133</v>
      </c>
      <c r="G18" s="93">
        <v>23</v>
      </c>
      <c r="H18" s="94">
        <f aca="true" t="shared" si="4" ref="H18:H23">SUM(B18:G18)</f>
        <v>1133</v>
      </c>
      <c r="I18" s="95"/>
      <c r="J18" s="86">
        <v>13</v>
      </c>
      <c r="K18" s="93">
        <v>0</v>
      </c>
      <c r="L18" s="93">
        <v>40</v>
      </c>
      <c r="M18" s="93">
        <f aca="true" t="shared" si="5" ref="M18:M24">SUM(H18:L18)</f>
        <v>1186</v>
      </c>
      <c r="N18" s="95"/>
      <c r="O18" s="86">
        <f>13</f>
        <v>13</v>
      </c>
      <c r="P18" s="93">
        <v>0</v>
      </c>
      <c r="Q18" s="93">
        <v>40</v>
      </c>
      <c r="R18" s="93">
        <f aca="true" t="shared" si="6" ref="R18:R24">SUM(M18:Q18)</f>
        <v>1239</v>
      </c>
      <c r="S18" s="86"/>
      <c r="T18" s="86">
        <f>18</f>
        <v>18</v>
      </c>
      <c r="U18" s="93">
        <v>0</v>
      </c>
      <c r="V18" s="93">
        <v>42</v>
      </c>
      <c r="W18" s="93">
        <f aca="true" t="shared" si="7" ref="W18:W24">SUM(R18:V18)</f>
        <v>1299</v>
      </c>
    </row>
    <row r="19" spans="1:23" ht="30" customHeight="1">
      <c r="A19" s="92" t="s">
        <v>70</v>
      </c>
      <c r="B19" s="33">
        <v>458</v>
      </c>
      <c r="C19" s="34"/>
      <c r="D19" s="87">
        <v>9</v>
      </c>
      <c r="E19" s="87">
        <v>35</v>
      </c>
      <c r="F19" s="87">
        <v>-14</v>
      </c>
      <c r="G19" s="87">
        <v>8</v>
      </c>
      <c r="H19" s="87">
        <f t="shared" si="4"/>
        <v>496</v>
      </c>
      <c r="I19" s="96"/>
      <c r="J19" s="87">
        <f>13+10</f>
        <v>23</v>
      </c>
      <c r="K19" s="87">
        <v>0</v>
      </c>
      <c r="L19" s="87">
        <v>13</v>
      </c>
      <c r="M19" s="93">
        <f t="shared" si="5"/>
        <v>532</v>
      </c>
      <c r="N19" s="96"/>
      <c r="O19" s="85">
        <v>13</v>
      </c>
      <c r="P19" s="87">
        <v>0</v>
      </c>
      <c r="Q19" s="87">
        <v>13</v>
      </c>
      <c r="R19" s="93">
        <f t="shared" si="6"/>
        <v>558</v>
      </c>
      <c r="S19" s="85"/>
      <c r="T19" s="85">
        <v>11</v>
      </c>
      <c r="U19" s="87">
        <v>0</v>
      </c>
      <c r="V19" s="87">
        <v>14</v>
      </c>
      <c r="W19" s="93">
        <f t="shared" si="7"/>
        <v>583</v>
      </c>
    </row>
    <row r="20" spans="1:23" ht="30" customHeight="1">
      <c r="A20" s="92" t="s">
        <v>71</v>
      </c>
      <c r="B20" s="33">
        <v>39</v>
      </c>
      <c r="C20" s="33"/>
      <c r="D20" s="87">
        <v>0</v>
      </c>
      <c r="E20" s="87">
        <v>0</v>
      </c>
      <c r="F20" s="87">
        <v>0</v>
      </c>
      <c r="G20" s="87">
        <v>1</v>
      </c>
      <c r="H20" s="87">
        <f t="shared" si="4"/>
        <v>40</v>
      </c>
      <c r="I20" s="87"/>
      <c r="J20" s="87">
        <v>0</v>
      </c>
      <c r="K20" s="87">
        <v>0</v>
      </c>
      <c r="L20" s="87">
        <v>1</v>
      </c>
      <c r="M20" s="93">
        <f t="shared" si="5"/>
        <v>41</v>
      </c>
      <c r="N20" s="87"/>
      <c r="O20" s="87">
        <v>0</v>
      </c>
      <c r="P20" s="87">
        <v>0</v>
      </c>
      <c r="Q20" s="87">
        <v>1</v>
      </c>
      <c r="R20" s="93">
        <f t="shared" si="6"/>
        <v>42</v>
      </c>
      <c r="S20" s="87"/>
      <c r="T20" s="87">
        <v>0</v>
      </c>
      <c r="U20" s="87">
        <v>0</v>
      </c>
      <c r="V20" s="87">
        <v>1</v>
      </c>
      <c r="W20" s="93">
        <f t="shared" si="7"/>
        <v>43</v>
      </c>
    </row>
    <row r="21" spans="1:23" ht="30" customHeight="1">
      <c r="A21" s="92" t="s">
        <v>72</v>
      </c>
      <c r="B21" s="29">
        <v>415</v>
      </c>
      <c r="C21" s="37"/>
      <c r="D21" s="88">
        <v>0</v>
      </c>
      <c r="E21" s="88">
        <v>0</v>
      </c>
      <c r="F21" s="88">
        <v>-43</v>
      </c>
      <c r="G21" s="88">
        <v>1</v>
      </c>
      <c r="H21" s="94">
        <f t="shared" si="4"/>
        <v>373</v>
      </c>
      <c r="I21" s="88"/>
      <c r="J21" s="88">
        <v>0</v>
      </c>
      <c r="K21" s="88">
        <v>0</v>
      </c>
      <c r="L21" s="88">
        <v>9</v>
      </c>
      <c r="M21" s="93">
        <f t="shared" si="5"/>
        <v>382</v>
      </c>
      <c r="N21" s="88"/>
      <c r="O21" s="88">
        <v>0</v>
      </c>
      <c r="P21" s="88">
        <v>0</v>
      </c>
      <c r="Q21" s="88">
        <v>10</v>
      </c>
      <c r="R21" s="93">
        <f t="shared" si="6"/>
        <v>392</v>
      </c>
      <c r="S21" s="88"/>
      <c r="T21" s="88">
        <v>0</v>
      </c>
      <c r="U21" s="88">
        <v>0</v>
      </c>
      <c r="V21" s="88">
        <v>13</v>
      </c>
      <c r="W21" s="93">
        <f t="shared" si="7"/>
        <v>405</v>
      </c>
    </row>
    <row r="22" spans="1:23" ht="30" customHeight="1">
      <c r="A22" s="92" t="s">
        <v>65</v>
      </c>
      <c r="B22" s="33">
        <v>0</v>
      </c>
      <c r="C22" s="39"/>
      <c r="D22" s="87"/>
      <c r="E22" s="87"/>
      <c r="F22" s="87"/>
      <c r="G22" s="87"/>
      <c r="H22" s="94">
        <f t="shared" si="4"/>
        <v>0</v>
      </c>
      <c r="I22" s="87"/>
      <c r="J22" s="87"/>
      <c r="K22" s="87">
        <v>0</v>
      </c>
      <c r="L22" s="87"/>
      <c r="M22" s="93">
        <f t="shared" si="5"/>
        <v>0</v>
      </c>
      <c r="N22" s="87"/>
      <c r="O22" s="87"/>
      <c r="P22" s="87">
        <v>0</v>
      </c>
      <c r="Q22" s="87"/>
      <c r="R22" s="93">
        <f t="shared" si="6"/>
        <v>0</v>
      </c>
      <c r="S22" s="87"/>
      <c r="T22" s="87"/>
      <c r="U22" s="87">
        <v>0</v>
      </c>
      <c r="V22" s="87"/>
      <c r="W22" s="93">
        <f t="shared" si="7"/>
        <v>0</v>
      </c>
    </row>
    <row r="23" spans="1:23" ht="30" customHeight="1">
      <c r="A23" s="92" t="s">
        <v>73</v>
      </c>
      <c r="B23" s="33">
        <v>5</v>
      </c>
      <c r="C23" s="34"/>
      <c r="D23" s="87">
        <v>0</v>
      </c>
      <c r="E23" s="87">
        <v>0</v>
      </c>
      <c r="F23" s="87">
        <v>0</v>
      </c>
      <c r="G23" s="87">
        <v>0</v>
      </c>
      <c r="H23" s="94">
        <f t="shared" si="4"/>
        <v>5</v>
      </c>
      <c r="I23" s="96"/>
      <c r="J23" s="87">
        <v>0</v>
      </c>
      <c r="K23" s="87">
        <v>0</v>
      </c>
      <c r="L23" s="87">
        <v>0</v>
      </c>
      <c r="M23" s="93">
        <f t="shared" si="5"/>
        <v>5</v>
      </c>
      <c r="N23" s="96"/>
      <c r="O23" s="85">
        <v>0</v>
      </c>
      <c r="P23" s="87">
        <v>0</v>
      </c>
      <c r="Q23" s="87">
        <v>0</v>
      </c>
      <c r="R23" s="93">
        <f t="shared" si="6"/>
        <v>5</v>
      </c>
      <c r="S23" s="85"/>
      <c r="T23" s="85">
        <v>0</v>
      </c>
      <c r="U23" s="87">
        <v>0</v>
      </c>
      <c r="V23" s="87">
        <v>0</v>
      </c>
      <c r="W23" s="93">
        <f t="shared" si="7"/>
        <v>5</v>
      </c>
    </row>
    <row r="24" spans="1:23" ht="30" customHeight="1">
      <c r="A24" s="92" t="s">
        <v>67</v>
      </c>
      <c r="B24" s="33">
        <v>2152</v>
      </c>
      <c r="C24" s="34"/>
      <c r="D24" s="87">
        <f>SUM(D18:D23)</f>
        <v>17</v>
      </c>
      <c r="E24" s="87">
        <f>SUM(E18:E23)</f>
        <v>35</v>
      </c>
      <c r="F24" s="87">
        <f>SUM(F18:F23)</f>
        <v>-190</v>
      </c>
      <c r="G24" s="87">
        <f>SUM(G18:G23)</f>
        <v>33</v>
      </c>
      <c r="H24" s="87">
        <f>SUM(H18:H23)</f>
        <v>2047</v>
      </c>
      <c r="I24" s="96"/>
      <c r="J24" s="87">
        <f>SUM(J18:J23)</f>
        <v>36</v>
      </c>
      <c r="K24" s="87">
        <v>0</v>
      </c>
      <c r="L24" s="87">
        <v>63</v>
      </c>
      <c r="M24" s="93">
        <f t="shared" si="5"/>
        <v>2146</v>
      </c>
      <c r="N24" s="96"/>
      <c r="O24" s="87">
        <f>SUM(O18:O23)</f>
        <v>26</v>
      </c>
      <c r="P24" s="87">
        <v>0</v>
      </c>
      <c r="Q24" s="87">
        <v>64</v>
      </c>
      <c r="R24" s="93">
        <f t="shared" si="6"/>
        <v>2236</v>
      </c>
      <c r="S24" s="85"/>
      <c r="T24" s="87">
        <f>SUM(T18:T23)</f>
        <v>29</v>
      </c>
      <c r="U24" s="87">
        <v>0</v>
      </c>
      <c r="V24" s="87">
        <v>70</v>
      </c>
      <c r="W24" s="93">
        <f t="shared" si="7"/>
        <v>2335</v>
      </c>
    </row>
    <row r="25" spans="1:23" ht="30" customHeight="1">
      <c r="A25" s="91"/>
      <c r="B25" s="29"/>
      <c r="C25" s="30"/>
      <c r="D25" s="86"/>
      <c r="E25" s="86"/>
      <c r="F25" s="93"/>
      <c r="G25" s="93"/>
      <c r="H25" s="94"/>
      <c r="I25" s="95"/>
      <c r="J25" s="86"/>
      <c r="K25" s="93"/>
      <c r="L25" s="93"/>
      <c r="M25" s="93">
        <v>0</v>
      </c>
      <c r="N25" s="95"/>
      <c r="O25" s="86"/>
      <c r="P25" s="93"/>
      <c r="Q25" s="93"/>
      <c r="R25" s="93">
        <v>0</v>
      </c>
      <c r="S25" s="86"/>
      <c r="T25" s="86"/>
      <c r="U25" s="93"/>
      <c r="V25" s="93"/>
      <c r="W25" s="93">
        <v>0</v>
      </c>
    </row>
    <row r="26" spans="1:23" ht="30" customHeight="1">
      <c r="A26" s="101" t="s">
        <v>74</v>
      </c>
      <c r="B26" s="29"/>
      <c r="C26" s="30"/>
      <c r="D26" s="86"/>
      <c r="E26" s="86"/>
      <c r="F26" s="93"/>
      <c r="G26" s="93"/>
      <c r="H26" s="94"/>
      <c r="I26" s="95"/>
      <c r="J26" s="86"/>
      <c r="K26" s="93"/>
      <c r="L26" s="93"/>
      <c r="M26" s="93">
        <v>0</v>
      </c>
      <c r="N26" s="95"/>
      <c r="O26" s="86"/>
      <c r="P26" s="93"/>
      <c r="Q26" s="93"/>
      <c r="R26" s="93">
        <v>0</v>
      </c>
      <c r="S26" s="86"/>
      <c r="T26" s="86"/>
      <c r="U26" s="93"/>
      <c r="V26" s="93"/>
      <c r="W26" s="93">
        <v>0</v>
      </c>
    </row>
    <row r="27" spans="1:23" ht="30" customHeight="1">
      <c r="A27" s="91" t="s">
        <v>75</v>
      </c>
      <c r="B27" s="29">
        <v>500</v>
      </c>
      <c r="C27" s="30"/>
      <c r="D27" s="86">
        <v>0</v>
      </c>
      <c r="E27" s="86">
        <v>0</v>
      </c>
      <c r="F27" s="93">
        <v>0</v>
      </c>
      <c r="G27" s="93">
        <v>0</v>
      </c>
      <c r="H27" s="94">
        <f>SUM(B27:G27)</f>
        <v>500</v>
      </c>
      <c r="I27" s="95"/>
      <c r="J27" s="86">
        <v>0</v>
      </c>
      <c r="K27" s="93">
        <v>0</v>
      </c>
      <c r="L27" s="93">
        <v>0</v>
      </c>
      <c r="M27" s="93">
        <f aca="true" t="shared" si="8" ref="M27:M38">SUM(H27:L27)</f>
        <v>500</v>
      </c>
      <c r="N27" s="95"/>
      <c r="O27" s="86">
        <v>0</v>
      </c>
      <c r="P27" s="93">
        <v>0</v>
      </c>
      <c r="Q27" s="93">
        <v>0</v>
      </c>
      <c r="R27" s="93">
        <f aca="true" t="shared" si="9" ref="R27:R38">SUM(M27:Q27)</f>
        <v>500</v>
      </c>
      <c r="S27" s="86"/>
      <c r="T27" s="86">
        <v>0</v>
      </c>
      <c r="U27" s="93">
        <v>0</v>
      </c>
      <c r="V27" s="93">
        <v>0</v>
      </c>
      <c r="W27" s="93">
        <f aca="true" t="shared" si="10" ref="W27:W38">SUM(R27:V27)</f>
        <v>500</v>
      </c>
    </row>
    <row r="28" spans="1:23" ht="30" customHeight="1">
      <c r="A28" s="91" t="s">
        <v>82</v>
      </c>
      <c r="B28" s="29">
        <v>5066</v>
      </c>
      <c r="C28" s="30"/>
      <c r="D28" s="86">
        <f>111</f>
        <v>111</v>
      </c>
      <c r="E28" s="86">
        <f>40+52+182-52</f>
        <v>222</v>
      </c>
      <c r="F28" s="93">
        <v>-148</v>
      </c>
      <c r="G28" s="93">
        <v>143</v>
      </c>
      <c r="H28" s="94">
        <f aca="true" t="shared" si="11" ref="H28:H33">SUM(B28:G28)</f>
        <v>5394</v>
      </c>
      <c r="I28" s="95"/>
      <c r="J28" s="86">
        <f>61+25-35-74</f>
        <v>-23</v>
      </c>
      <c r="K28" s="93">
        <v>0</v>
      </c>
      <c r="L28" s="93">
        <v>210</v>
      </c>
      <c r="M28" s="93">
        <f t="shared" si="8"/>
        <v>5581</v>
      </c>
      <c r="N28" s="95"/>
      <c r="O28" s="86">
        <f>-115+69-108</f>
        <v>-154</v>
      </c>
      <c r="P28" s="93">
        <v>0</v>
      </c>
      <c r="Q28" s="93">
        <v>213</v>
      </c>
      <c r="R28" s="93">
        <f t="shared" si="9"/>
        <v>5640</v>
      </c>
      <c r="S28" s="86"/>
      <c r="T28" s="86">
        <f>60</f>
        <v>60</v>
      </c>
      <c r="U28" s="93">
        <v>0</v>
      </c>
      <c r="V28" s="93">
        <v>216</v>
      </c>
      <c r="W28" s="93">
        <f t="shared" si="10"/>
        <v>5916</v>
      </c>
    </row>
    <row r="29" spans="1:23" ht="30" customHeight="1">
      <c r="A29" s="91" t="s">
        <v>76</v>
      </c>
      <c r="B29" s="29">
        <v>737</v>
      </c>
      <c r="C29" s="30"/>
      <c r="D29" s="86">
        <v>0</v>
      </c>
      <c r="E29" s="86">
        <v>0</v>
      </c>
      <c r="F29" s="93">
        <v>0</v>
      </c>
      <c r="G29" s="93">
        <v>7</v>
      </c>
      <c r="H29" s="94">
        <f t="shared" si="11"/>
        <v>744</v>
      </c>
      <c r="I29" s="95"/>
      <c r="J29" s="86">
        <v>0</v>
      </c>
      <c r="K29" s="93">
        <v>0</v>
      </c>
      <c r="L29" s="93">
        <v>7</v>
      </c>
      <c r="M29" s="93">
        <f t="shared" si="8"/>
        <v>751</v>
      </c>
      <c r="N29" s="95"/>
      <c r="O29" s="86">
        <v>0</v>
      </c>
      <c r="P29" s="93">
        <v>0</v>
      </c>
      <c r="Q29" s="93">
        <v>7</v>
      </c>
      <c r="R29" s="93">
        <f t="shared" si="9"/>
        <v>758</v>
      </c>
      <c r="S29" s="86"/>
      <c r="T29" s="86">
        <v>1</v>
      </c>
      <c r="U29" s="93">
        <v>0</v>
      </c>
      <c r="V29" s="93">
        <v>7</v>
      </c>
      <c r="W29" s="93">
        <f t="shared" si="10"/>
        <v>766</v>
      </c>
    </row>
    <row r="30" spans="1:23" ht="30" customHeight="1">
      <c r="A30" s="91" t="s">
        <v>77</v>
      </c>
      <c r="B30" s="29">
        <v>192</v>
      </c>
      <c r="C30" s="30"/>
      <c r="D30" s="86">
        <v>2</v>
      </c>
      <c r="E30" s="86">
        <v>18</v>
      </c>
      <c r="F30" s="93">
        <v>0</v>
      </c>
      <c r="G30" s="93">
        <v>7</v>
      </c>
      <c r="H30" s="94">
        <f t="shared" si="11"/>
        <v>219</v>
      </c>
      <c r="I30" s="95"/>
      <c r="J30" s="86">
        <f>3+23-23</f>
        <v>3</v>
      </c>
      <c r="K30" s="93">
        <v>0</v>
      </c>
      <c r="L30" s="93">
        <v>9</v>
      </c>
      <c r="M30" s="93">
        <f t="shared" si="8"/>
        <v>231</v>
      </c>
      <c r="N30" s="95"/>
      <c r="O30" s="86">
        <f>3</f>
        <v>3</v>
      </c>
      <c r="P30" s="93">
        <v>0</v>
      </c>
      <c r="Q30" s="93">
        <v>10</v>
      </c>
      <c r="R30" s="93">
        <f t="shared" si="9"/>
        <v>244</v>
      </c>
      <c r="S30" s="86"/>
      <c r="T30" s="86">
        <v>5</v>
      </c>
      <c r="U30" s="93">
        <v>0</v>
      </c>
      <c r="V30" s="93">
        <v>13</v>
      </c>
      <c r="W30" s="93">
        <f t="shared" si="10"/>
        <v>262</v>
      </c>
    </row>
    <row r="31" spans="1:23" ht="30" customHeight="1">
      <c r="A31" s="91" t="s">
        <v>78</v>
      </c>
      <c r="B31" s="33">
        <v>122</v>
      </c>
      <c r="C31" s="34"/>
      <c r="D31" s="87">
        <v>0</v>
      </c>
      <c r="E31" s="87">
        <v>0</v>
      </c>
      <c r="F31" s="87">
        <v>-12</v>
      </c>
      <c r="G31" s="87">
        <v>3</v>
      </c>
      <c r="H31" s="94">
        <f t="shared" si="11"/>
        <v>113</v>
      </c>
      <c r="I31" s="96"/>
      <c r="J31" s="87">
        <v>0</v>
      </c>
      <c r="K31" s="87">
        <v>0</v>
      </c>
      <c r="L31" s="87">
        <v>6</v>
      </c>
      <c r="M31" s="93">
        <f t="shared" si="8"/>
        <v>119</v>
      </c>
      <c r="N31" s="96"/>
      <c r="O31" s="87">
        <v>0</v>
      </c>
      <c r="P31" s="87">
        <v>0</v>
      </c>
      <c r="Q31" s="87">
        <v>6</v>
      </c>
      <c r="R31" s="93">
        <f t="shared" si="9"/>
        <v>125</v>
      </c>
      <c r="S31" s="87"/>
      <c r="T31" s="87">
        <v>0</v>
      </c>
      <c r="U31" s="87">
        <v>0</v>
      </c>
      <c r="V31" s="87">
        <v>7</v>
      </c>
      <c r="W31" s="93">
        <f t="shared" si="10"/>
        <v>132</v>
      </c>
    </row>
    <row r="32" spans="1:23" ht="30" customHeight="1">
      <c r="A32" s="91" t="s">
        <v>79</v>
      </c>
      <c r="B32" s="33">
        <v>35</v>
      </c>
      <c r="C32" s="34"/>
      <c r="D32" s="85">
        <v>0</v>
      </c>
      <c r="E32" s="85">
        <v>0</v>
      </c>
      <c r="F32" s="87">
        <v>0</v>
      </c>
      <c r="G32" s="87">
        <v>1</v>
      </c>
      <c r="H32" s="94">
        <f t="shared" si="11"/>
        <v>36</v>
      </c>
      <c r="I32" s="96"/>
      <c r="J32" s="85">
        <v>0</v>
      </c>
      <c r="K32" s="87">
        <v>0</v>
      </c>
      <c r="L32" s="87">
        <v>1</v>
      </c>
      <c r="M32" s="93">
        <f t="shared" si="8"/>
        <v>37</v>
      </c>
      <c r="N32" s="96"/>
      <c r="O32" s="85">
        <v>0</v>
      </c>
      <c r="P32" s="87">
        <v>0</v>
      </c>
      <c r="Q32" s="87">
        <v>1</v>
      </c>
      <c r="R32" s="93">
        <f t="shared" si="9"/>
        <v>38</v>
      </c>
      <c r="S32" s="85"/>
      <c r="T32" s="85"/>
      <c r="U32" s="87">
        <v>0</v>
      </c>
      <c r="V32" s="87">
        <v>1</v>
      </c>
      <c r="W32" s="93">
        <f t="shared" si="10"/>
        <v>39</v>
      </c>
    </row>
    <row r="33" spans="1:23" ht="30" customHeight="1">
      <c r="A33" s="91" t="s">
        <v>80</v>
      </c>
      <c r="B33" s="29">
        <v>1520</v>
      </c>
      <c r="C33" s="30"/>
      <c r="D33" s="86">
        <v>13</v>
      </c>
      <c r="E33" s="86">
        <v>0</v>
      </c>
      <c r="F33" s="93">
        <v>-71</v>
      </c>
      <c r="G33" s="93">
        <v>33</v>
      </c>
      <c r="H33" s="94">
        <f t="shared" si="11"/>
        <v>1495</v>
      </c>
      <c r="I33" s="95"/>
      <c r="J33" s="86">
        <v>18</v>
      </c>
      <c r="K33" s="93">
        <v>0</v>
      </c>
      <c r="L33" s="93">
        <v>52</v>
      </c>
      <c r="M33" s="93">
        <f t="shared" si="8"/>
        <v>1565</v>
      </c>
      <c r="N33" s="95"/>
      <c r="O33" s="86">
        <v>18</v>
      </c>
      <c r="P33" s="93">
        <v>0</v>
      </c>
      <c r="Q33" s="93">
        <v>52</v>
      </c>
      <c r="R33" s="93">
        <f t="shared" si="9"/>
        <v>1635</v>
      </c>
      <c r="S33" s="86"/>
      <c r="T33" s="86">
        <v>14</v>
      </c>
      <c r="U33" s="93">
        <v>0</v>
      </c>
      <c r="V33" s="93">
        <v>54</v>
      </c>
      <c r="W33" s="93">
        <f t="shared" si="10"/>
        <v>1703</v>
      </c>
    </row>
    <row r="34" spans="1:23" ht="30" customHeight="1">
      <c r="A34" s="91" t="s">
        <v>67</v>
      </c>
      <c r="B34" s="29">
        <v>8172</v>
      </c>
      <c r="C34" s="30"/>
      <c r="D34" s="86">
        <f aca="true" t="shared" si="12" ref="D34:J34">SUM(D27:D33)</f>
        <v>126</v>
      </c>
      <c r="E34" s="86">
        <f t="shared" si="12"/>
        <v>240</v>
      </c>
      <c r="F34" s="86">
        <f t="shared" si="12"/>
        <v>-231</v>
      </c>
      <c r="G34" s="86">
        <f t="shared" si="12"/>
        <v>194</v>
      </c>
      <c r="H34" s="86">
        <f t="shared" si="12"/>
        <v>8501</v>
      </c>
      <c r="I34" s="86">
        <f t="shared" si="12"/>
        <v>0</v>
      </c>
      <c r="J34" s="86">
        <f t="shared" si="12"/>
        <v>-2</v>
      </c>
      <c r="K34" s="93">
        <v>0</v>
      </c>
      <c r="L34" s="98">
        <v>285</v>
      </c>
      <c r="M34" s="93">
        <f t="shared" si="8"/>
        <v>8784</v>
      </c>
      <c r="N34" s="95"/>
      <c r="O34" s="86">
        <f>SUM(O27:O33)</f>
        <v>-133</v>
      </c>
      <c r="P34" s="93">
        <v>0</v>
      </c>
      <c r="Q34" s="98">
        <v>289</v>
      </c>
      <c r="R34" s="93">
        <f t="shared" si="9"/>
        <v>8940</v>
      </c>
      <c r="S34" s="86"/>
      <c r="T34" s="86">
        <f>SUM(T27:T33)</f>
        <v>80</v>
      </c>
      <c r="U34" s="93">
        <v>0</v>
      </c>
      <c r="V34" s="98">
        <v>298</v>
      </c>
      <c r="W34" s="93">
        <f t="shared" si="10"/>
        <v>9318</v>
      </c>
    </row>
    <row r="35" spans="1:23" ht="30" customHeight="1">
      <c r="A35" s="91"/>
      <c r="B35" s="29"/>
      <c r="C35" s="30"/>
      <c r="D35" s="86"/>
      <c r="E35" s="86"/>
      <c r="F35" s="93"/>
      <c r="G35" s="98"/>
      <c r="H35" s="94"/>
      <c r="I35" s="95"/>
      <c r="J35" s="86"/>
      <c r="K35" s="93"/>
      <c r="L35" s="98"/>
      <c r="M35" s="93">
        <v>0</v>
      </c>
      <c r="N35" s="95"/>
      <c r="O35" s="86"/>
      <c r="P35" s="93"/>
      <c r="Q35" s="98"/>
      <c r="R35" s="93">
        <v>0</v>
      </c>
      <c r="S35" s="86"/>
      <c r="T35" s="86"/>
      <c r="U35" s="93"/>
      <c r="V35" s="98"/>
      <c r="W35" s="93">
        <v>0</v>
      </c>
    </row>
    <row r="36" spans="1:23" s="82" customFormat="1" ht="30" customHeight="1">
      <c r="A36" s="92" t="s">
        <v>81</v>
      </c>
      <c r="B36" s="33">
        <v>0</v>
      </c>
      <c r="C36" s="34"/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96"/>
      <c r="J36" s="87">
        <v>0</v>
      </c>
      <c r="K36" s="87">
        <v>-553</v>
      </c>
      <c r="L36" s="87">
        <v>0</v>
      </c>
      <c r="M36" s="93">
        <f t="shared" si="8"/>
        <v>-553</v>
      </c>
      <c r="N36" s="96"/>
      <c r="O36" s="87">
        <v>0</v>
      </c>
      <c r="P36" s="87">
        <v>-570</v>
      </c>
      <c r="Q36" s="87">
        <v>0</v>
      </c>
      <c r="R36" s="93">
        <f t="shared" si="9"/>
        <v>-1123</v>
      </c>
      <c r="S36" s="87"/>
      <c r="T36" s="87">
        <v>0</v>
      </c>
      <c r="U36" s="87">
        <v>-589</v>
      </c>
      <c r="V36" s="87">
        <v>0</v>
      </c>
      <c r="W36" s="93">
        <f t="shared" si="10"/>
        <v>-1712</v>
      </c>
    </row>
    <row r="37" spans="1:23" ht="30" customHeight="1">
      <c r="A37" s="92"/>
      <c r="B37" s="33"/>
      <c r="C37" s="34"/>
      <c r="D37" s="87"/>
      <c r="E37" s="87"/>
      <c r="F37" s="87"/>
      <c r="G37" s="87"/>
      <c r="H37" s="97"/>
      <c r="I37" s="96"/>
      <c r="J37" s="87"/>
      <c r="K37" s="87"/>
      <c r="L37" s="87"/>
      <c r="M37" s="87"/>
      <c r="N37" s="96"/>
      <c r="O37" s="85"/>
      <c r="P37" s="87"/>
      <c r="Q37" s="87"/>
      <c r="R37" s="87"/>
      <c r="S37" s="85"/>
      <c r="T37" s="85"/>
      <c r="U37" s="87"/>
      <c r="V37" s="87"/>
      <c r="W37" s="87"/>
    </row>
    <row r="38" spans="1:23" s="49" customFormat="1" ht="30" customHeight="1">
      <c r="A38" s="102" t="s">
        <v>46</v>
      </c>
      <c r="B38" s="33">
        <v>18172</v>
      </c>
      <c r="C38" s="34"/>
      <c r="D38" s="87">
        <f>D36+D34+D24+D15</f>
        <v>-152</v>
      </c>
      <c r="E38" s="87">
        <f>E36+E34+E24+E15</f>
        <v>275</v>
      </c>
      <c r="F38" s="87">
        <f>F36+F34+F24+F15</f>
        <v>-722</v>
      </c>
      <c r="G38" s="87">
        <f>G36+G34+G24+G15</f>
        <v>314</v>
      </c>
      <c r="H38" s="87">
        <f>H36+H34+H24+H15</f>
        <v>17887</v>
      </c>
      <c r="I38" s="96"/>
      <c r="J38" s="87">
        <f>J36+J34+J24+J15</f>
        <v>102</v>
      </c>
      <c r="K38" s="87">
        <v>-553</v>
      </c>
      <c r="L38" s="87">
        <v>523</v>
      </c>
      <c r="M38" s="87">
        <f t="shared" si="8"/>
        <v>17959</v>
      </c>
      <c r="N38" s="96"/>
      <c r="O38" s="87">
        <f>O36+O34+O24+O15</f>
        <v>-42</v>
      </c>
      <c r="P38" s="87">
        <v>-570</v>
      </c>
      <c r="Q38" s="87">
        <v>543</v>
      </c>
      <c r="R38" s="87">
        <f t="shared" si="9"/>
        <v>17890</v>
      </c>
      <c r="S38" s="85"/>
      <c r="T38" s="87">
        <f>T36+T34+T24+T15</f>
        <v>186</v>
      </c>
      <c r="U38" s="87">
        <v>-589</v>
      </c>
      <c r="V38" s="87">
        <v>564</v>
      </c>
      <c r="W38" s="87">
        <f t="shared" si="10"/>
        <v>18051</v>
      </c>
    </row>
    <row r="39" spans="1:35" ht="30" customHeight="1">
      <c r="A39" s="90"/>
      <c r="B39" s="33"/>
      <c r="C39" s="34"/>
      <c r="D39" s="87"/>
      <c r="E39" s="87"/>
      <c r="F39" s="87"/>
      <c r="G39" s="87"/>
      <c r="H39" s="97"/>
      <c r="I39" s="96"/>
      <c r="J39" s="87"/>
      <c r="K39" s="87"/>
      <c r="L39" s="87"/>
      <c r="M39" s="87"/>
      <c r="N39" s="96"/>
      <c r="O39" s="85"/>
      <c r="P39" s="87"/>
      <c r="Q39" s="87"/>
      <c r="R39" s="87"/>
      <c r="S39" s="85"/>
      <c r="T39" s="85"/>
      <c r="U39" s="87"/>
      <c r="V39" s="87"/>
      <c r="W39" s="87"/>
      <c r="X39" s="99"/>
      <c r="Y39" s="100"/>
      <c r="Z39" s="100"/>
      <c r="AA39" s="80"/>
      <c r="AB39" s="80"/>
      <c r="AC39" s="80"/>
      <c r="AD39" s="80"/>
      <c r="AE39" s="100"/>
      <c r="AF39" s="100"/>
      <c r="AG39" s="100"/>
      <c r="AH39" s="100"/>
      <c r="AI39" s="80"/>
    </row>
    <row r="40" spans="1:29" ht="30" customHeight="1">
      <c r="A40" s="102" t="s">
        <v>83</v>
      </c>
      <c r="B40" s="33"/>
      <c r="C40" s="34"/>
      <c r="D40" s="87"/>
      <c r="E40" s="87"/>
      <c r="F40" s="87"/>
      <c r="G40" s="87"/>
      <c r="H40" s="97"/>
      <c r="I40" s="96"/>
      <c r="J40" s="87"/>
      <c r="K40" s="87"/>
      <c r="L40" s="87"/>
      <c r="M40" s="87"/>
      <c r="N40" s="96"/>
      <c r="O40" s="85"/>
      <c r="P40" s="87"/>
      <c r="Q40" s="87"/>
      <c r="R40" s="87"/>
      <c r="S40" s="85"/>
      <c r="T40" s="85"/>
      <c r="U40" s="87"/>
      <c r="V40" s="87"/>
      <c r="W40" s="87"/>
      <c r="X40" s="49"/>
      <c r="AC40" s="49" t="s">
        <v>55</v>
      </c>
    </row>
    <row r="41" spans="1:29" ht="30" customHeight="1">
      <c r="A41" s="92" t="s">
        <v>84</v>
      </c>
      <c r="B41" s="33"/>
      <c r="C41" s="34"/>
      <c r="D41" s="87"/>
      <c r="E41" s="87"/>
      <c r="F41" s="87"/>
      <c r="G41" s="87"/>
      <c r="H41" s="97"/>
      <c r="I41" s="96"/>
      <c r="J41" s="87"/>
      <c r="K41" s="87"/>
      <c r="L41" s="87"/>
      <c r="M41" s="87"/>
      <c r="N41" s="96"/>
      <c r="O41" s="85"/>
      <c r="P41" s="87"/>
      <c r="Q41" s="87"/>
      <c r="R41" s="87"/>
      <c r="S41" s="85"/>
      <c r="T41" s="85"/>
      <c r="U41" s="87"/>
      <c r="V41" s="87"/>
      <c r="W41" s="87"/>
      <c r="X41" s="81"/>
      <c r="AC41" s="81" t="s">
        <v>55</v>
      </c>
    </row>
    <row r="42" spans="1:29" ht="30" customHeight="1">
      <c r="A42" s="91" t="s">
        <v>85</v>
      </c>
      <c r="B42" s="29">
        <v>30256</v>
      </c>
      <c r="C42" s="30"/>
      <c r="D42" s="86">
        <v>0</v>
      </c>
      <c r="E42" s="86">
        <f>115+200+200+338</f>
        <v>853</v>
      </c>
      <c r="F42" s="93">
        <f>-432-98</f>
        <v>-530</v>
      </c>
      <c r="G42" s="93">
        <v>619</v>
      </c>
      <c r="H42" s="94">
        <f aca="true" t="shared" si="13" ref="H42:H47">SUM(B42:G42)</f>
        <v>31198</v>
      </c>
      <c r="I42" s="95"/>
      <c r="J42" s="86">
        <f>39+12</f>
        <v>51</v>
      </c>
      <c r="K42" s="93">
        <f>-318</f>
        <v>-318</v>
      </c>
      <c r="L42" s="93">
        <v>764</v>
      </c>
      <c r="M42" s="93">
        <f aca="true" t="shared" si="14" ref="M42:M48">SUM(H42:L42)</f>
        <v>31695</v>
      </c>
      <c r="N42" s="95"/>
      <c r="O42" s="86">
        <v>0</v>
      </c>
      <c r="P42" s="93">
        <v>0</v>
      </c>
      <c r="Q42" s="93">
        <v>789</v>
      </c>
      <c r="R42" s="93">
        <f aca="true" t="shared" si="15" ref="R42:R48">SUM(M42:Q42)</f>
        <v>32484</v>
      </c>
      <c r="S42" s="86"/>
      <c r="T42" s="86">
        <v>0</v>
      </c>
      <c r="U42" s="93"/>
      <c r="V42" s="93">
        <v>818</v>
      </c>
      <c r="W42" s="93">
        <f aca="true" t="shared" si="16" ref="W42:W48">SUM(R42:V42)</f>
        <v>33302</v>
      </c>
      <c r="X42" s="49"/>
      <c r="AC42" s="49"/>
    </row>
    <row r="43" spans="1:29" ht="30" customHeight="1">
      <c r="A43" s="91" t="s">
        <v>86</v>
      </c>
      <c r="B43" s="29">
        <v>14878</v>
      </c>
      <c r="C43" s="30"/>
      <c r="D43" s="86">
        <v>0</v>
      </c>
      <c r="E43" s="86">
        <f>297+393+151</f>
        <v>841</v>
      </c>
      <c r="F43" s="93">
        <f>-358-41</f>
        <v>-399</v>
      </c>
      <c r="G43" s="93">
        <v>325</v>
      </c>
      <c r="H43" s="94">
        <f t="shared" si="13"/>
        <v>15645</v>
      </c>
      <c r="I43" s="95"/>
      <c r="J43" s="86"/>
      <c r="K43" s="93">
        <v>0</v>
      </c>
      <c r="L43" s="93">
        <v>332</v>
      </c>
      <c r="M43" s="93">
        <f t="shared" si="14"/>
        <v>15977</v>
      </c>
      <c r="N43" s="95"/>
      <c r="O43" s="86">
        <v>0</v>
      </c>
      <c r="P43" s="93">
        <v>0</v>
      </c>
      <c r="Q43" s="93">
        <v>340</v>
      </c>
      <c r="R43" s="93">
        <f t="shared" si="15"/>
        <v>16317</v>
      </c>
      <c r="S43" s="86"/>
      <c r="T43" s="86">
        <v>0</v>
      </c>
      <c r="U43" s="93">
        <v>0</v>
      </c>
      <c r="V43" s="93">
        <v>347</v>
      </c>
      <c r="W43" s="93">
        <f t="shared" si="16"/>
        <v>16664</v>
      </c>
      <c r="X43" s="49"/>
      <c r="AC43" s="49"/>
    </row>
    <row r="44" spans="1:29" ht="30" customHeight="1">
      <c r="A44" s="91" t="s">
        <v>87</v>
      </c>
      <c r="B44" s="29">
        <v>9482</v>
      </c>
      <c r="C44" s="30"/>
      <c r="D44" s="86">
        <v>0</v>
      </c>
      <c r="E44" s="86">
        <f>40+132</f>
        <v>172</v>
      </c>
      <c r="F44" s="93">
        <f>-210-184</f>
        <v>-394</v>
      </c>
      <c r="G44" s="93">
        <v>212</v>
      </c>
      <c r="H44" s="94">
        <f t="shared" si="13"/>
        <v>9472</v>
      </c>
      <c r="I44" s="95"/>
      <c r="J44" s="86"/>
      <c r="K44" s="93">
        <v>-57</v>
      </c>
      <c r="L44" s="93">
        <v>216</v>
      </c>
      <c r="M44" s="93">
        <f t="shared" si="14"/>
        <v>9631</v>
      </c>
      <c r="N44" s="95"/>
      <c r="O44" s="86">
        <v>0</v>
      </c>
      <c r="P44" s="93">
        <v>0</v>
      </c>
      <c r="Q44" s="93">
        <v>221</v>
      </c>
      <c r="R44" s="93">
        <f t="shared" si="15"/>
        <v>9852</v>
      </c>
      <c r="S44" s="86"/>
      <c r="T44" s="86">
        <v>0</v>
      </c>
      <c r="U44" s="93">
        <v>0</v>
      </c>
      <c r="V44" s="93">
        <v>226</v>
      </c>
      <c r="W44" s="93">
        <f t="shared" si="16"/>
        <v>10078</v>
      </c>
      <c r="X44" s="49"/>
      <c r="AC44" s="49"/>
    </row>
    <row r="45" spans="1:29" ht="30" customHeight="1">
      <c r="A45" s="91" t="s">
        <v>88</v>
      </c>
      <c r="B45" s="29">
        <v>7850</v>
      </c>
      <c r="C45" s="30"/>
      <c r="D45" s="86">
        <v>0</v>
      </c>
      <c r="E45" s="86">
        <v>12</v>
      </c>
      <c r="F45" s="93">
        <f>-214-150</f>
        <v>-364</v>
      </c>
      <c r="G45" s="93">
        <v>176</v>
      </c>
      <c r="H45" s="94">
        <f t="shared" si="13"/>
        <v>7674</v>
      </c>
      <c r="I45" s="95"/>
      <c r="J45" s="86">
        <v>4</v>
      </c>
      <c r="K45" s="93">
        <v>0</v>
      </c>
      <c r="L45" s="93">
        <v>180</v>
      </c>
      <c r="M45" s="93">
        <f t="shared" si="14"/>
        <v>7858</v>
      </c>
      <c r="N45" s="95"/>
      <c r="O45" s="86">
        <v>0</v>
      </c>
      <c r="P45" s="93">
        <v>0</v>
      </c>
      <c r="Q45" s="93">
        <v>184</v>
      </c>
      <c r="R45" s="93">
        <f t="shared" si="15"/>
        <v>8042</v>
      </c>
      <c r="S45" s="86"/>
      <c r="T45" s="86">
        <v>0</v>
      </c>
      <c r="U45" s="93">
        <v>0</v>
      </c>
      <c r="V45" s="93">
        <v>188</v>
      </c>
      <c r="W45" s="93">
        <f t="shared" si="16"/>
        <v>8230</v>
      </c>
      <c r="X45" s="49"/>
      <c r="AC45" s="49"/>
    </row>
    <row r="46" spans="1:29" ht="30" customHeight="1">
      <c r="A46" s="91" t="s">
        <v>89</v>
      </c>
      <c r="B46" s="29">
        <v>232</v>
      </c>
      <c r="C46" s="30"/>
      <c r="D46" s="86">
        <v>0</v>
      </c>
      <c r="E46" s="86">
        <v>15</v>
      </c>
      <c r="F46" s="93">
        <v>0</v>
      </c>
      <c r="G46" s="93">
        <v>5</v>
      </c>
      <c r="H46" s="94">
        <f t="shared" si="13"/>
        <v>252</v>
      </c>
      <c r="I46" s="95"/>
      <c r="J46" s="86">
        <v>5</v>
      </c>
      <c r="K46" s="93">
        <v>0</v>
      </c>
      <c r="L46" s="93">
        <v>6</v>
      </c>
      <c r="M46" s="93">
        <f t="shared" si="14"/>
        <v>263</v>
      </c>
      <c r="N46" s="95"/>
      <c r="O46" s="86">
        <v>0</v>
      </c>
      <c r="P46" s="93">
        <v>0</v>
      </c>
      <c r="Q46" s="93">
        <v>6</v>
      </c>
      <c r="R46" s="93">
        <f t="shared" si="15"/>
        <v>269</v>
      </c>
      <c r="S46" s="86"/>
      <c r="T46" s="86">
        <v>0</v>
      </c>
      <c r="U46" s="93">
        <v>0</v>
      </c>
      <c r="V46" s="93">
        <v>6</v>
      </c>
      <c r="W46" s="93">
        <f t="shared" si="16"/>
        <v>275</v>
      </c>
      <c r="X46" s="49"/>
      <c r="AC46" s="49"/>
    </row>
    <row r="47" spans="1:23" ht="30" customHeight="1">
      <c r="A47" s="91" t="s">
        <v>90</v>
      </c>
      <c r="B47" s="29">
        <v>5700</v>
      </c>
      <c r="C47" s="30"/>
      <c r="D47" s="86">
        <v>-223</v>
      </c>
      <c r="E47" s="86">
        <v>135</v>
      </c>
      <c r="F47" s="93">
        <f>-115-1000</f>
        <v>-1115</v>
      </c>
      <c r="G47" s="93">
        <v>127</v>
      </c>
      <c r="H47" s="94">
        <f t="shared" si="13"/>
        <v>4624</v>
      </c>
      <c r="I47" s="95"/>
      <c r="J47" s="86">
        <f>222+45</f>
        <v>267</v>
      </c>
      <c r="K47" s="93">
        <v>-4</v>
      </c>
      <c r="L47" s="93">
        <v>122</v>
      </c>
      <c r="M47" s="93">
        <f t="shared" si="14"/>
        <v>5009</v>
      </c>
      <c r="N47" s="95"/>
      <c r="O47" s="86">
        <v>228</v>
      </c>
      <c r="P47" s="93">
        <v>0</v>
      </c>
      <c r="Q47" s="93">
        <v>125</v>
      </c>
      <c r="R47" s="93">
        <f t="shared" si="15"/>
        <v>5362</v>
      </c>
      <c r="S47" s="86"/>
      <c r="T47" s="86">
        <f>235</f>
        <v>235</v>
      </c>
      <c r="U47" s="93">
        <v>0</v>
      </c>
      <c r="V47" s="93">
        <v>128</v>
      </c>
      <c r="W47" s="93">
        <f t="shared" si="16"/>
        <v>5725</v>
      </c>
    </row>
    <row r="48" spans="1:23" ht="30" customHeight="1">
      <c r="A48" s="91" t="s">
        <v>67</v>
      </c>
      <c r="B48" s="33">
        <v>68398</v>
      </c>
      <c r="C48" s="34"/>
      <c r="D48" s="87">
        <f>SUM(D42:D47)</f>
        <v>-223</v>
      </c>
      <c r="E48" s="87">
        <f>SUM(E42:E47)</f>
        <v>2028</v>
      </c>
      <c r="F48" s="87">
        <f>SUM(F42:F47)</f>
        <v>-2802</v>
      </c>
      <c r="G48" s="87">
        <f>SUM(G42:G47)</f>
        <v>1464</v>
      </c>
      <c r="H48" s="87">
        <f>SUM(H42:H47)</f>
        <v>68865</v>
      </c>
      <c r="I48" s="96"/>
      <c r="J48" s="87">
        <f>SUM(J42:J47)</f>
        <v>327</v>
      </c>
      <c r="K48" s="87">
        <f>SUM(K42:K47)</f>
        <v>-379</v>
      </c>
      <c r="L48" s="87">
        <v>1620</v>
      </c>
      <c r="M48" s="93">
        <f t="shared" si="14"/>
        <v>70433</v>
      </c>
      <c r="N48" s="96"/>
      <c r="O48" s="87">
        <f>SUM(O42:O47)</f>
        <v>228</v>
      </c>
      <c r="P48" s="87">
        <f>SUM(P42:P47)</f>
        <v>0</v>
      </c>
      <c r="Q48" s="87">
        <v>1665</v>
      </c>
      <c r="R48" s="93">
        <f t="shared" si="15"/>
        <v>72326</v>
      </c>
      <c r="S48" s="87"/>
      <c r="T48" s="87">
        <f>SUM(T42:T47)</f>
        <v>235</v>
      </c>
      <c r="U48" s="87">
        <v>0</v>
      </c>
      <c r="V48" s="87">
        <v>1713</v>
      </c>
      <c r="W48" s="93">
        <f t="shared" si="16"/>
        <v>74274</v>
      </c>
    </row>
    <row r="49" spans="1:23" ht="30" customHeight="1">
      <c r="A49" s="91"/>
      <c r="B49" s="33"/>
      <c r="C49" s="34"/>
      <c r="D49" s="85"/>
      <c r="E49" s="85"/>
      <c r="F49" s="87"/>
      <c r="G49" s="87"/>
      <c r="H49" s="97"/>
      <c r="I49" s="96"/>
      <c r="J49" s="85"/>
      <c r="K49" s="87"/>
      <c r="L49" s="87"/>
      <c r="M49" s="87"/>
      <c r="N49" s="96"/>
      <c r="O49" s="85"/>
      <c r="P49" s="87"/>
      <c r="Q49" s="87"/>
      <c r="R49" s="87"/>
      <c r="S49" s="85"/>
      <c r="T49" s="85"/>
      <c r="U49" s="87"/>
      <c r="V49" s="87"/>
      <c r="W49" s="87"/>
    </row>
    <row r="50" spans="1:23" s="49" customFormat="1" ht="30" customHeight="1">
      <c r="A50" s="101" t="s">
        <v>96</v>
      </c>
      <c r="B50" s="33">
        <v>0</v>
      </c>
      <c r="C50" s="34"/>
      <c r="D50" s="85"/>
      <c r="E50" s="85">
        <v>4097</v>
      </c>
      <c r="F50" s="87"/>
      <c r="G50" s="87"/>
      <c r="H50" s="97">
        <f>E50</f>
        <v>4097</v>
      </c>
      <c r="I50" s="96"/>
      <c r="J50" s="85"/>
      <c r="K50" s="87"/>
      <c r="L50" s="87"/>
      <c r="M50" s="87">
        <f>H50+J50+K50+L50</f>
        <v>4097</v>
      </c>
      <c r="N50" s="96"/>
      <c r="O50" s="85"/>
      <c r="P50" s="87"/>
      <c r="Q50" s="87"/>
      <c r="R50" s="87">
        <f>M50+O50+P50+Q50</f>
        <v>4097</v>
      </c>
      <c r="S50" s="85"/>
      <c r="T50" s="85"/>
      <c r="U50" s="87"/>
      <c r="V50" s="87"/>
      <c r="W50" s="87">
        <f>R50+T50+U50+V50</f>
        <v>4097</v>
      </c>
    </row>
    <row r="51" spans="1:23" ht="30" customHeight="1">
      <c r="A51" s="91"/>
      <c r="B51" s="33"/>
      <c r="C51" s="34"/>
      <c r="D51" s="85"/>
      <c r="E51" s="85"/>
      <c r="F51" s="87"/>
      <c r="G51" s="87"/>
      <c r="H51" s="97"/>
      <c r="I51" s="96"/>
      <c r="J51" s="85"/>
      <c r="K51" s="87"/>
      <c r="L51" s="87"/>
      <c r="M51" s="87"/>
      <c r="N51" s="96"/>
      <c r="O51" s="85"/>
      <c r="P51" s="87"/>
      <c r="Q51" s="87"/>
      <c r="R51" s="87"/>
      <c r="S51" s="85"/>
      <c r="T51" s="85"/>
      <c r="U51" s="87"/>
      <c r="V51" s="87"/>
      <c r="W51" s="87"/>
    </row>
    <row r="52" spans="1:23" ht="30" customHeight="1">
      <c r="A52" s="101" t="s">
        <v>91</v>
      </c>
      <c r="B52" s="29"/>
      <c r="C52" s="30"/>
      <c r="D52" s="86"/>
      <c r="E52" s="86"/>
      <c r="F52" s="93"/>
      <c r="G52" s="93"/>
      <c r="H52" s="94"/>
      <c r="I52" s="95"/>
      <c r="J52" s="86"/>
      <c r="K52" s="93"/>
      <c r="L52" s="93"/>
      <c r="M52" s="93"/>
      <c r="N52" s="95"/>
      <c r="O52" s="86"/>
      <c r="P52" s="93"/>
      <c r="Q52" s="93"/>
      <c r="R52" s="93"/>
      <c r="S52" s="86"/>
      <c r="T52" s="86"/>
      <c r="U52" s="93"/>
      <c r="V52" s="93"/>
      <c r="W52" s="93"/>
    </row>
    <row r="53" spans="1:23" ht="30" customHeight="1">
      <c r="A53" s="91" t="s">
        <v>92</v>
      </c>
      <c r="B53" s="29">
        <v>1924</v>
      </c>
      <c r="C53" s="30"/>
      <c r="D53" s="86">
        <v>0</v>
      </c>
      <c r="E53" s="86">
        <v>0</v>
      </c>
      <c r="F53" s="93">
        <v>0</v>
      </c>
      <c r="G53" s="98">
        <v>38</v>
      </c>
      <c r="H53" s="94">
        <v>1962</v>
      </c>
      <c r="I53" s="95"/>
      <c r="J53" s="86">
        <v>0</v>
      </c>
      <c r="K53" s="93">
        <v>0</v>
      </c>
      <c r="L53" s="98">
        <v>39</v>
      </c>
      <c r="M53" s="93">
        <v>2001</v>
      </c>
      <c r="N53" s="95"/>
      <c r="O53" s="86">
        <v>0</v>
      </c>
      <c r="P53" s="93">
        <v>0</v>
      </c>
      <c r="Q53" s="98">
        <v>40</v>
      </c>
      <c r="R53" s="93">
        <v>2001</v>
      </c>
      <c r="S53" s="86"/>
      <c r="T53" s="86">
        <v>0</v>
      </c>
      <c r="U53" s="93">
        <v>0</v>
      </c>
      <c r="V53" s="98">
        <v>40</v>
      </c>
      <c r="W53" s="93">
        <v>2001</v>
      </c>
    </row>
    <row r="54" spans="1:23" ht="30" customHeight="1">
      <c r="A54" s="91" t="s">
        <v>93</v>
      </c>
      <c r="B54" s="29">
        <v>279</v>
      </c>
      <c r="C54" s="30"/>
      <c r="D54" s="86">
        <v>4</v>
      </c>
      <c r="E54" s="86">
        <v>0</v>
      </c>
      <c r="F54" s="93">
        <v>-44</v>
      </c>
      <c r="G54" s="98">
        <v>6</v>
      </c>
      <c r="H54" s="94">
        <v>245</v>
      </c>
      <c r="I54" s="95"/>
      <c r="J54" s="86">
        <v>0</v>
      </c>
      <c r="K54" s="93"/>
      <c r="L54" s="98">
        <v>6</v>
      </c>
      <c r="M54" s="93">
        <v>251</v>
      </c>
      <c r="N54" s="95"/>
      <c r="O54" s="86"/>
      <c r="P54" s="93">
        <v>0</v>
      </c>
      <c r="Q54" s="98">
        <v>6</v>
      </c>
      <c r="R54" s="93">
        <v>251</v>
      </c>
      <c r="S54" s="86"/>
      <c r="T54" s="86"/>
      <c r="U54" s="93">
        <v>0</v>
      </c>
      <c r="V54" s="98">
        <v>6</v>
      </c>
      <c r="W54" s="93">
        <v>251</v>
      </c>
    </row>
    <row r="55" spans="1:23" ht="30" customHeight="1">
      <c r="A55" s="92" t="s">
        <v>67</v>
      </c>
      <c r="B55" s="33">
        <v>2203</v>
      </c>
      <c r="C55" s="34"/>
      <c r="D55" s="87">
        <v>4</v>
      </c>
      <c r="E55" s="87">
        <v>0</v>
      </c>
      <c r="F55" s="87">
        <v>-44</v>
      </c>
      <c r="G55" s="87">
        <v>44</v>
      </c>
      <c r="H55" s="87">
        <v>2207</v>
      </c>
      <c r="I55" s="96"/>
      <c r="J55" s="87">
        <v>0</v>
      </c>
      <c r="K55" s="87">
        <v>0</v>
      </c>
      <c r="L55" s="87">
        <v>45</v>
      </c>
      <c r="M55" s="87">
        <v>2252</v>
      </c>
      <c r="N55" s="96"/>
      <c r="O55" s="87">
        <v>0</v>
      </c>
      <c r="P55" s="87">
        <v>0</v>
      </c>
      <c r="Q55" s="87">
        <v>46</v>
      </c>
      <c r="R55" s="87">
        <v>2252</v>
      </c>
      <c r="S55" s="87"/>
      <c r="T55" s="87">
        <v>0</v>
      </c>
      <c r="U55" s="87">
        <v>0</v>
      </c>
      <c r="V55" s="87">
        <v>46</v>
      </c>
      <c r="W55" s="87">
        <v>2252</v>
      </c>
    </row>
    <row r="56" spans="1:23" ht="30" customHeight="1">
      <c r="A56" s="92"/>
      <c r="B56" s="33"/>
      <c r="C56" s="34"/>
      <c r="D56" s="87"/>
      <c r="E56" s="87"/>
      <c r="F56" s="87"/>
      <c r="G56" s="87"/>
      <c r="H56" s="97"/>
      <c r="I56" s="96"/>
      <c r="J56" s="87"/>
      <c r="K56" s="87"/>
      <c r="L56" s="87"/>
      <c r="M56" s="87"/>
      <c r="N56" s="96"/>
      <c r="O56" s="85"/>
      <c r="P56" s="87"/>
      <c r="Q56" s="87"/>
      <c r="R56" s="87"/>
      <c r="S56" s="85"/>
      <c r="T56" s="85"/>
      <c r="U56" s="87"/>
      <c r="V56" s="87"/>
      <c r="W56" s="87"/>
    </row>
    <row r="57" spans="1:23" ht="30" customHeight="1">
      <c r="A57" s="92" t="s">
        <v>81</v>
      </c>
      <c r="B57" s="29">
        <v>0</v>
      </c>
      <c r="C57" s="30"/>
      <c r="D57" s="93">
        <v>0</v>
      </c>
      <c r="E57" s="93">
        <v>0</v>
      </c>
      <c r="F57" s="93"/>
      <c r="G57" s="93">
        <v>-106</v>
      </c>
      <c r="H57" s="94">
        <v>-106</v>
      </c>
      <c r="I57" s="95"/>
      <c r="J57" s="86">
        <v>0</v>
      </c>
      <c r="K57" s="93">
        <f>-1474+61</f>
        <v>-1413</v>
      </c>
      <c r="L57" s="93"/>
      <c r="M57" s="93">
        <f>SUM(H57:L57)</f>
        <v>-1519</v>
      </c>
      <c r="N57" s="95"/>
      <c r="O57" s="86">
        <v>0</v>
      </c>
      <c r="P57" s="93">
        <v>-1837</v>
      </c>
      <c r="Q57" s="93">
        <v>0</v>
      </c>
      <c r="R57" s="93">
        <f>SUM(M57:Q57)</f>
        <v>-3356</v>
      </c>
      <c r="S57" s="86"/>
      <c r="T57" s="86">
        <v>0</v>
      </c>
      <c r="U57" s="93">
        <v>-1883</v>
      </c>
      <c r="V57" s="93">
        <v>0</v>
      </c>
      <c r="W57" s="93">
        <f>SUM(R57:V57)</f>
        <v>-5239</v>
      </c>
    </row>
    <row r="58" spans="1:23" ht="30" customHeight="1">
      <c r="A58" s="92"/>
      <c r="B58" s="33"/>
      <c r="C58" s="34"/>
      <c r="D58" s="87"/>
      <c r="E58" s="87"/>
      <c r="F58" s="87"/>
      <c r="G58" s="87"/>
      <c r="H58" s="97"/>
      <c r="I58" s="96"/>
      <c r="J58" s="87"/>
      <c r="K58" s="87"/>
      <c r="L58" s="87"/>
      <c r="M58" s="87"/>
      <c r="N58" s="96"/>
      <c r="O58" s="85"/>
      <c r="P58" s="87"/>
      <c r="Q58" s="87"/>
      <c r="R58" s="87"/>
      <c r="S58" s="85"/>
      <c r="T58" s="85"/>
      <c r="U58" s="87"/>
      <c r="V58" s="87"/>
      <c r="W58" s="87"/>
    </row>
    <row r="59" spans="1:23" ht="30" customHeight="1">
      <c r="A59" s="102" t="s">
        <v>46</v>
      </c>
      <c r="B59" s="33">
        <v>70601</v>
      </c>
      <c r="C59" s="33">
        <v>0</v>
      </c>
      <c r="D59" s="87">
        <v>-219</v>
      </c>
      <c r="E59" s="87">
        <f>E55+E48+E50</f>
        <v>6125</v>
      </c>
      <c r="F59" s="87">
        <f>F55+F48+F50</f>
        <v>-2846</v>
      </c>
      <c r="G59" s="87">
        <f>G55+G48+G50+G57</f>
        <v>1402</v>
      </c>
      <c r="H59" s="87">
        <f>H55+H48+H50+H57</f>
        <v>75063</v>
      </c>
      <c r="I59" s="87">
        <v>0</v>
      </c>
      <c r="J59" s="87">
        <f>J57+J55+J50+J48</f>
        <v>327</v>
      </c>
      <c r="K59" s="87">
        <f>K57+K55+K50+K48</f>
        <v>-1792</v>
      </c>
      <c r="L59" s="87">
        <f>L57+L55+L50+L48</f>
        <v>1665</v>
      </c>
      <c r="M59" s="87">
        <f>M57+M55+M50+M48</f>
        <v>75263</v>
      </c>
      <c r="N59" s="87">
        <v>0</v>
      </c>
      <c r="O59" s="87">
        <f>O57+O55+O50+O48</f>
        <v>228</v>
      </c>
      <c r="P59" s="87">
        <f>P57+P55+P50+P48</f>
        <v>-1837</v>
      </c>
      <c r="Q59" s="87">
        <v>1711</v>
      </c>
      <c r="R59" s="87">
        <f>SUM(M59:Q59)</f>
        <v>75365</v>
      </c>
      <c r="S59" s="87"/>
      <c r="T59" s="87">
        <f>T57+T55+T50+T48</f>
        <v>235</v>
      </c>
      <c r="U59" s="87">
        <f>U57+U55+U50+U48</f>
        <v>-1883</v>
      </c>
      <c r="V59" s="87">
        <v>1759</v>
      </c>
      <c r="W59" s="87">
        <f>SUM(R59:V59)</f>
        <v>75476</v>
      </c>
    </row>
    <row r="60" spans="1:23" ht="30" customHeight="1">
      <c r="A60" s="92"/>
      <c r="B60" s="29"/>
      <c r="C60" s="37"/>
      <c r="D60" s="88"/>
      <c r="E60" s="88"/>
      <c r="F60" s="88"/>
      <c r="G60" s="88"/>
      <c r="H60" s="94"/>
      <c r="I60" s="88"/>
      <c r="J60" s="88"/>
      <c r="K60" s="88"/>
      <c r="L60" s="88"/>
      <c r="M60" s="93"/>
      <c r="N60" s="88"/>
      <c r="O60" s="88"/>
      <c r="P60" s="88"/>
      <c r="Q60" s="88"/>
      <c r="R60" s="93"/>
      <c r="S60" s="88"/>
      <c r="T60" s="88"/>
      <c r="U60" s="88"/>
      <c r="V60" s="88"/>
      <c r="W60" s="93"/>
    </row>
    <row r="61" spans="1:23" ht="30" customHeight="1">
      <c r="A61" s="102" t="s">
        <v>94</v>
      </c>
      <c r="B61" s="33">
        <f>B59+B38</f>
        <v>88773</v>
      </c>
      <c r="C61" s="39"/>
      <c r="D61" s="33">
        <f>D59+D38</f>
        <v>-371</v>
      </c>
      <c r="E61" s="33">
        <f>E59+E38</f>
        <v>6400</v>
      </c>
      <c r="F61" s="33">
        <f>F59+F38</f>
        <v>-3568</v>
      </c>
      <c r="G61" s="87">
        <f>G59+G38</f>
        <v>1716</v>
      </c>
      <c r="H61" s="87">
        <f>H59+H38</f>
        <v>92950</v>
      </c>
      <c r="I61" s="87"/>
      <c r="J61" s="33">
        <f>J59+J38</f>
        <v>429</v>
      </c>
      <c r="K61" s="33">
        <f aca="true" t="shared" si="17" ref="K61:V61">K59+K38</f>
        <v>-2345</v>
      </c>
      <c r="L61" s="33">
        <f t="shared" si="17"/>
        <v>2188</v>
      </c>
      <c r="M61" s="33">
        <f t="shared" si="17"/>
        <v>93222</v>
      </c>
      <c r="N61" s="87"/>
      <c r="O61" s="33">
        <f t="shared" si="17"/>
        <v>186</v>
      </c>
      <c r="P61" s="33">
        <f>P59+P38</f>
        <v>-2407</v>
      </c>
      <c r="Q61" s="33">
        <f t="shared" si="17"/>
        <v>2254</v>
      </c>
      <c r="R61" s="33">
        <f>R59+R38</f>
        <v>93255</v>
      </c>
      <c r="S61" s="87"/>
      <c r="T61" s="33">
        <f>T59+T38</f>
        <v>421</v>
      </c>
      <c r="U61" s="33">
        <f>U59+U38</f>
        <v>-2472</v>
      </c>
      <c r="V61" s="33">
        <f t="shared" si="17"/>
        <v>2323</v>
      </c>
      <c r="W61" s="33">
        <f>W59+W38</f>
        <v>93527</v>
      </c>
    </row>
    <row r="63" spans="1:14" ht="12.75">
      <c r="A63" s="49" t="s">
        <v>47</v>
      </c>
      <c r="B63" s="14"/>
      <c r="G63" s="110"/>
      <c r="H63" s="14"/>
      <c r="J63" s="14"/>
      <c r="K63" s="14"/>
      <c r="L63" s="14"/>
      <c r="M63" s="14"/>
      <c r="N63" s="14"/>
    </row>
    <row r="64" ht="12.75">
      <c r="A64" s="49"/>
    </row>
    <row r="65" spans="1:20" ht="12.75">
      <c r="A65" s="49" t="s">
        <v>114</v>
      </c>
      <c r="F65" s="105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</row>
    <row r="66" ht="12.75">
      <c r="A66" s="49" t="s">
        <v>115</v>
      </c>
    </row>
    <row r="67" ht="12.75">
      <c r="A67" s="49" t="s">
        <v>116</v>
      </c>
    </row>
    <row r="68" ht="12.75">
      <c r="A68" s="49" t="s">
        <v>117</v>
      </c>
    </row>
  </sheetData>
  <mergeCells count="4">
    <mergeCell ref="D5:H5"/>
    <mergeCell ref="J5:M5"/>
    <mergeCell ref="O5:R5"/>
    <mergeCell ref="T5:W5"/>
  </mergeCells>
  <printOptions/>
  <pageMargins left="0.75" right="0.75" top="1" bottom="1" header="0.5" footer="0.5"/>
  <pageSetup firstPageNumber="110" useFirstPageNumber="1" fitToHeight="3" fitToWidth="1" horizontalDpi="600" verticalDpi="600" orientation="landscape" paperSize="9" scale="59" r:id="rId1"/>
  <headerFooter alignWithMargins="0">
    <oddHeader>&amp;CBUDGET MATRIX - OBJECTIVE ANALYSIS&amp;RAppendix C</oddHeader>
    <oddFooter>&amp;L&amp;9&amp;Z&amp;F&amp;R&amp;P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"/>
  <sheetViews>
    <sheetView workbookViewId="0" topLeftCell="N7">
      <selection activeCell="F23" sqref="F23"/>
    </sheetView>
  </sheetViews>
  <sheetFormatPr defaultColWidth="9.140625" defaultRowHeight="12.75"/>
  <cols>
    <col min="1" max="1" width="35.57421875" style="0" customWidth="1"/>
    <col min="2" max="2" width="9.8515625" style="0" customWidth="1"/>
    <col min="3" max="3" width="0.9921875" style="0" customWidth="1"/>
    <col min="4" max="4" width="12.57421875" style="0" customWidth="1"/>
    <col min="6" max="6" width="11.28125" style="0" customWidth="1"/>
    <col min="8" max="8" width="10.140625" style="0" customWidth="1"/>
    <col min="9" max="9" width="1.1484375" style="0" customWidth="1"/>
    <col min="10" max="10" width="12.8515625" style="0" customWidth="1"/>
    <col min="11" max="11" width="10.7109375" style="0" customWidth="1"/>
    <col min="13" max="13" width="9.8515625" style="0" customWidth="1"/>
    <col min="14" max="14" width="0.71875" style="0" customWidth="1"/>
    <col min="15" max="15" width="11.7109375" style="0" customWidth="1"/>
    <col min="16" max="16" width="10.7109375" style="0" customWidth="1"/>
    <col min="18" max="18" width="9.7109375" style="0" customWidth="1"/>
    <col min="19" max="19" width="0.9921875" style="0" customWidth="1"/>
    <col min="20" max="20" width="11.8515625" style="0" customWidth="1"/>
    <col min="21" max="21" width="11.00390625" style="0" customWidth="1"/>
    <col min="23" max="23" width="9.7109375" style="0" customWidth="1"/>
  </cols>
  <sheetData>
    <row r="2" spans="1:22" ht="15.75">
      <c r="A2" s="13" t="s">
        <v>95</v>
      </c>
      <c r="B2" s="14"/>
      <c r="G2" s="14"/>
      <c r="H2" s="14"/>
      <c r="J2" s="14"/>
      <c r="K2" s="14"/>
      <c r="L2" s="14"/>
      <c r="M2" s="14"/>
      <c r="N2" s="14"/>
      <c r="V2" s="13"/>
    </row>
    <row r="3" spans="1:22" ht="15.75">
      <c r="A3" s="13"/>
      <c r="B3" s="14"/>
      <c r="G3" s="14"/>
      <c r="H3" s="14"/>
      <c r="J3" s="14"/>
      <c r="K3" s="14"/>
      <c r="L3" s="14"/>
      <c r="M3" s="14"/>
      <c r="N3" s="14"/>
      <c r="V3" s="13"/>
    </row>
    <row r="5" spans="1:23" ht="31.5">
      <c r="A5" s="15"/>
      <c r="B5" s="16" t="s">
        <v>20</v>
      </c>
      <c r="C5" s="17"/>
      <c r="D5" s="123" t="s">
        <v>0</v>
      </c>
      <c r="E5" s="124"/>
      <c r="F5" s="124"/>
      <c r="G5" s="124"/>
      <c r="H5" s="125"/>
      <c r="I5" s="18"/>
      <c r="J5" s="126" t="s">
        <v>1</v>
      </c>
      <c r="K5" s="127"/>
      <c r="L5" s="127"/>
      <c r="M5" s="128"/>
      <c r="N5" s="19"/>
      <c r="O5" s="126" t="s">
        <v>2</v>
      </c>
      <c r="P5" s="127"/>
      <c r="Q5" s="127"/>
      <c r="R5" s="128"/>
      <c r="S5" s="19"/>
      <c r="T5" s="20" t="s">
        <v>3</v>
      </c>
      <c r="U5" s="20"/>
      <c r="V5" s="20"/>
      <c r="W5" s="21"/>
    </row>
    <row r="6" spans="1:23" ht="89.25">
      <c r="A6" s="22" t="s">
        <v>21</v>
      </c>
      <c r="B6" s="23" t="s">
        <v>48</v>
      </c>
      <c r="C6" s="24"/>
      <c r="D6" s="25" t="s">
        <v>22</v>
      </c>
      <c r="E6" s="25" t="s">
        <v>23</v>
      </c>
      <c r="F6" s="25" t="s">
        <v>24</v>
      </c>
      <c r="G6" s="25" t="s">
        <v>25</v>
      </c>
      <c r="H6" s="23" t="s">
        <v>49</v>
      </c>
      <c r="I6" s="26"/>
      <c r="J6" s="25" t="s">
        <v>26</v>
      </c>
      <c r="K6" s="25" t="s">
        <v>27</v>
      </c>
      <c r="L6" s="25" t="s">
        <v>28</v>
      </c>
      <c r="M6" s="27" t="s">
        <v>50</v>
      </c>
      <c r="N6" s="28"/>
      <c r="O6" s="25" t="s">
        <v>29</v>
      </c>
      <c r="P6" s="25" t="s">
        <v>30</v>
      </c>
      <c r="Q6" s="25" t="s">
        <v>31</v>
      </c>
      <c r="R6" s="23" t="s">
        <v>51</v>
      </c>
      <c r="S6" s="28"/>
      <c r="T6" s="25" t="s">
        <v>32</v>
      </c>
      <c r="U6" s="25" t="s">
        <v>33</v>
      </c>
      <c r="V6" s="25" t="s">
        <v>34</v>
      </c>
      <c r="W6" s="23" t="s">
        <v>52</v>
      </c>
    </row>
    <row r="7" spans="1:23" ht="12.75">
      <c r="A7" s="56"/>
      <c r="B7" s="23"/>
      <c r="C7" s="24"/>
      <c r="D7" s="25"/>
      <c r="E7" s="25"/>
      <c r="F7" s="25"/>
      <c r="G7" s="25"/>
      <c r="H7" s="23"/>
      <c r="I7" s="26"/>
      <c r="J7" s="103"/>
      <c r="K7" s="25"/>
      <c r="L7" s="25"/>
      <c r="M7" s="27"/>
      <c r="N7" s="28"/>
      <c r="O7" s="103"/>
      <c r="P7" s="25"/>
      <c r="Q7" s="25"/>
      <c r="R7" s="23"/>
      <c r="S7" s="28"/>
      <c r="T7" s="103"/>
      <c r="U7" s="25"/>
      <c r="V7" s="25"/>
      <c r="W7" s="23"/>
    </row>
    <row r="8" spans="1:23" ht="24.75" customHeight="1">
      <c r="A8" s="50"/>
      <c r="B8" s="29"/>
      <c r="C8" s="30"/>
      <c r="D8" s="29"/>
      <c r="E8" s="29"/>
      <c r="F8" s="29"/>
      <c r="G8" s="29"/>
      <c r="H8" s="29"/>
      <c r="I8" s="30"/>
      <c r="J8" s="31"/>
      <c r="K8" s="29"/>
      <c r="L8" s="29"/>
      <c r="M8" s="32"/>
      <c r="N8" s="30"/>
      <c r="O8" s="31"/>
      <c r="P8" s="29"/>
      <c r="Q8" s="29"/>
      <c r="R8" s="29"/>
      <c r="S8" s="30"/>
      <c r="T8" s="31"/>
      <c r="U8" s="29"/>
      <c r="V8" s="29"/>
      <c r="W8" s="29"/>
    </row>
    <row r="9" spans="1:23" s="82" customFormat="1" ht="24.75" customHeight="1">
      <c r="A9" s="106" t="s">
        <v>35</v>
      </c>
      <c r="B9" s="93">
        <v>3666</v>
      </c>
      <c r="C9" s="95"/>
      <c r="D9" s="93">
        <v>99</v>
      </c>
      <c r="E9" s="93"/>
      <c r="F9" s="93">
        <v>-442</v>
      </c>
      <c r="G9" s="93">
        <v>108</v>
      </c>
      <c r="H9" s="93">
        <f>SUM(B9:G9)</f>
        <v>3431</v>
      </c>
      <c r="I9" s="95"/>
      <c r="J9" s="86">
        <v>35</v>
      </c>
      <c r="K9" s="93"/>
      <c r="L9" s="93">
        <v>120.085</v>
      </c>
      <c r="M9" s="94">
        <f>SUM(H9:L9)</f>
        <v>3586.085</v>
      </c>
      <c r="N9" s="95"/>
      <c r="O9" s="86">
        <v>35</v>
      </c>
      <c r="P9" s="93">
        <v>0</v>
      </c>
      <c r="Q9" s="93">
        <v>124.4371495</v>
      </c>
      <c r="R9" s="93">
        <f>SUM(M9:Q9)</f>
        <v>3745.5221495</v>
      </c>
      <c r="S9" s="95"/>
      <c r="T9" s="86">
        <v>36</v>
      </c>
      <c r="U9" s="93"/>
      <c r="V9" s="93">
        <v>128.5950663727</v>
      </c>
      <c r="W9" s="93">
        <f>SUM(R9:V9)</f>
        <v>3910.1172158727</v>
      </c>
    </row>
    <row r="10" spans="1:23" s="82" customFormat="1" ht="24.75" customHeight="1">
      <c r="A10" s="106" t="s">
        <v>53</v>
      </c>
      <c r="B10" s="93">
        <v>4639</v>
      </c>
      <c r="C10" s="95"/>
      <c r="D10" s="93">
        <f>140</f>
        <v>140</v>
      </c>
      <c r="E10" s="93">
        <v>27</v>
      </c>
      <c r="F10" s="93">
        <f>-234-70</f>
        <v>-304</v>
      </c>
      <c r="G10" s="93">
        <v>139</v>
      </c>
      <c r="H10" s="93">
        <f>SUM(B10:G10)</f>
        <v>4641</v>
      </c>
      <c r="I10" s="95"/>
      <c r="J10" s="86">
        <f>45+70</f>
        <v>115</v>
      </c>
      <c r="K10" s="93"/>
      <c r="L10" s="93">
        <v>163.94</v>
      </c>
      <c r="M10" s="94">
        <f aca="true" t="shared" si="0" ref="M10:M15">SUM(H10:L10)</f>
        <v>4919.94</v>
      </c>
      <c r="N10" s="95"/>
      <c r="O10" s="86">
        <v>48</v>
      </c>
      <c r="P10" s="93"/>
      <c r="Q10" s="93">
        <v>169.785018</v>
      </c>
      <c r="R10" s="93">
        <f aca="true" t="shared" si="1" ref="R10:R15">SUM(M10:Q10)</f>
        <v>5137.725017999999</v>
      </c>
      <c r="S10" s="95"/>
      <c r="T10" s="86">
        <v>49</v>
      </c>
      <c r="U10" s="93"/>
      <c r="V10" s="93">
        <v>176.83108562279997</v>
      </c>
      <c r="W10" s="93">
        <f>SUM(R10:V10)</f>
        <v>5363.556103622799</v>
      </c>
    </row>
    <row r="11" spans="1:23" s="82" customFormat="1" ht="24.75" customHeight="1">
      <c r="A11" s="106" t="s">
        <v>54</v>
      </c>
      <c r="B11" s="93">
        <v>-1048</v>
      </c>
      <c r="C11" s="95"/>
      <c r="D11" s="93">
        <v>59</v>
      </c>
      <c r="E11" s="93"/>
      <c r="F11" s="93">
        <v>-60</v>
      </c>
      <c r="G11" s="93">
        <v>-37</v>
      </c>
      <c r="H11" s="93">
        <f>SUM(B11:G11)</f>
        <v>-1086</v>
      </c>
      <c r="I11" s="95"/>
      <c r="J11" s="86">
        <v>0</v>
      </c>
      <c r="K11" s="93"/>
      <c r="L11" s="93">
        <v>-38.01</v>
      </c>
      <c r="M11" s="94">
        <f t="shared" si="0"/>
        <v>-1124.01</v>
      </c>
      <c r="N11" s="95"/>
      <c r="O11" s="86">
        <v>0</v>
      </c>
      <c r="P11" s="93"/>
      <c r="Q11" s="93">
        <v>-39.003147</v>
      </c>
      <c r="R11" s="93">
        <f t="shared" si="1"/>
        <v>-1163.013147</v>
      </c>
      <c r="S11" s="95"/>
      <c r="T11" s="86">
        <v>0</v>
      </c>
      <c r="U11" s="93"/>
      <c r="V11" s="93">
        <v>-40.24025488619999</v>
      </c>
      <c r="W11" s="93">
        <f>SUM(R11:V11)</f>
        <v>-1203.2534018862</v>
      </c>
    </row>
    <row r="12" spans="1:23" s="82" customFormat="1" ht="24.75" customHeight="1">
      <c r="A12" s="107" t="s">
        <v>36</v>
      </c>
      <c r="B12" s="93">
        <v>55</v>
      </c>
      <c r="C12" s="95"/>
      <c r="D12" s="93">
        <v>118</v>
      </c>
      <c r="E12" s="93"/>
      <c r="F12" s="93">
        <v>-248</v>
      </c>
      <c r="G12" s="93">
        <v>12</v>
      </c>
      <c r="H12" s="93">
        <f>SUM(B12:G12)</f>
        <v>-63</v>
      </c>
      <c r="I12" s="95"/>
      <c r="J12" s="86">
        <v>24</v>
      </c>
      <c r="K12" s="93"/>
      <c r="L12" s="93">
        <v>-2.205</v>
      </c>
      <c r="M12" s="94">
        <f t="shared" si="0"/>
        <v>-41.205</v>
      </c>
      <c r="N12" s="95"/>
      <c r="O12" s="86">
        <v>25</v>
      </c>
      <c r="P12" s="93"/>
      <c r="Q12" s="93">
        <v>-1.4298135</v>
      </c>
      <c r="R12" s="93">
        <f t="shared" si="1"/>
        <v>-17.6348135</v>
      </c>
      <c r="S12" s="95"/>
      <c r="T12" s="86">
        <v>26</v>
      </c>
      <c r="U12" s="93"/>
      <c r="V12" s="93">
        <v>-0.6101645471</v>
      </c>
      <c r="W12" s="93">
        <f>SUM(R12:V12)</f>
        <v>7.7550219529</v>
      </c>
    </row>
    <row r="13" spans="1:23" s="82" customFormat="1" ht="24.75" customHeight="1">
      <c r="A13" s="107" t="s">
        <v>37</v>
      </c>
      <c r="B13" s="93">
        <v>1266</v>
      </c>
      <c r="C13" s="95"/>
      <c r="D13" s="93">
        <f>15+88</f>
        <v>103</v>
      </c>
      <c r="E13" s="93">
        <v>120</v>
      </c>
      <c r="F13" s="93">
        <v>-260</v>
      </c>
      <c r="G13" s="93">
        <v>40</v>
      </c>
      <c r="H13" s="93">
        <f>SUM(B13:G13)</f>
        <v>1269</v>
      </c>
      <c r="I13" s="95"/>
      <c r="J13" s="86">
        <f>36-104</f>
        <v>-68</v>
      </c>
      <c r="K13" s="93"/>
      <c r="L13" s="93">
        <v>40.215</v>
      </c>
      <c r="M13" s="94">
        <f t="shared" si="0"/>
        <v>1241.215</v>
      </c>
      <c r="N13" s="95"/>
      <c r="O13" s="86">
        <f>37-16</f>
        <v>21</v>
      </c>
      <c r="P13" s="93"/>
      <c r="Q13" s="93">
        <v>42.5149605</v>
      </c>
      <c r="R13" s="93">
        <f t="shared" si="1"/>
        <v>1304.7299604999998</v>
      </c>
      <c r="S13" s="95"/>
      <c r="T13" s="86">
        <v>38</v>
      </c>
      <c r="U13" s="93">
        <v>-101</v>
      </c>
      <c r="V13" s="93">
        <v>45.14365663329999</v>
      </c>
      <c r="W13" s="93">
        <f>SUM(R13:V13)</f>
        <v>1286.8736171332998</v>
      </c>
    </row>
    <row r="14" spans="1:23" ht="24.75" customHeight="1">
      <c r="A14" s="51"/>
      <c r="B14" s="29"/>
      <c r="C14" s="30"/>
      <c r="D14" s="29"/>
      <c r="E14" s="29"/>
      <c r="F14" s="29"/>
      <c r="G14" s="29"/>
      <c r="H14" s="29"/>
      <c r="I14" s="30"/>
      <c r="J14" s="31"/>
      <c r="K14" s="29"/>
      <c r="L14" s="29"/>
      <c r="M14" s="94"/>
      <c r="N14" s="30"/>
      <c r="O14" s="31"/>
      <c r="P14" s="29"/>
      <c r="Q14" s="29"/>
      <c r="R14" s="93"/>
      <c r="S14" s="30"/>
      <c r="T14" s="31"/>
      <c r="U14" s="29"/>
      <c r="V14" s="29"/>
      <c r="W14" s="29"/>
    </row>
    <row r="15" spans="1:23" ht="24.75" customHeight="1">
      <c r="A15" s="52" t="s">
        <v>19</v>
      </c>
      <c r="B15" s="29"/>
      <c r="C15" s="30"/>
      <c r="D15" s="29"/>
      <c r="E15" s="29"/>
      <c r="F15" s="29"/>
      <c r="G15" s="29"/>
      <c r="H15" s="29">
        <f>F15</f>
        <v>0</v>
      </c>
      <c r="I15" s="30"/>
      <c r="J15" s="29">
        <v>0</v>
      </c>
      <c r="K15" s="29">
        <f>-1042*0.6</f>
        <v>-625.1999999999999</v>
      </c>
      <c r="L15" s="29">
        <v>0</v>
      </c>
      <c r="M15" s="94">
        <f t="shared" si="0"/>
        <v>-625.1999999999999</v>
      </c>
      <c r="N15" s="30"/>
      <c r="O15" s="31">
        <v>0</v>
      </c>
      <c r="P15" s="29">
        <f>-1073*0.6</f>
        <v>-643.8</v>
      </c>
      <c r="Q15" s="29">
        <v>0</v>
      </c>
      <c r="R15" s="93">
        <f t="shared" si="1"/>
        <v>-1269</v>
      </c>
      <c r="S15" s="30"/>
      <c r="T15" s="29">
        <v>0</v>
      </c>
      <c r="U15" s="29">
        <f>-1005*0.6</f>
        <v>-603</v>
      </c>
      <c r="V15" s="29">
        <v>0</v>
      </c>
      <c r="W15" s="29">
        <f>R15+U15</f>
        <v>-1872</v>
      </c>
    </row>
    <row r="16" spans="1:23" ht="24.75" customHeight="1">
      <c r="A16" s="51"/>
      <c r="B16" s="29"/>
      <c r="C16" s="30"/>
      <c r="D16" s="29"/>
      <c r="E16" s="29"/>
      <c r="F16" s="29"/>
      <c r="G16" s="29"/>
      <c r="H16" s="29"/>
      <c r="I16" s="30"/>
      <c r="J16" s="31"/>
      <c r="K16" s="29"/>
      <c r="L16" s="29"/>
      <c r="M16" s="32"/>
      <c r="N16" s="30"/>
      <c r="O16" s="31"/>
      <c r="P16" s="29"/>
      <c r="Q16" s="29"/>
      <c r="R16" s="29"/>
      <c r="S16" s="30"/>
      <c r="T16" s="31"/>
      <c r="U16" s="29"/>
      <c r="V16" s="29"/>
      <c r="W16" s="29"/>
    </row>
    <row r="17" spans="1:23" s="49" customFormat="1" ht="24.75" customHeight="1">
      <c r="A17" s="104" t="s">
        <v>38</v>
      </c>
      <c r="B17" s="33">
        <f>SUM(B9:B16)</f>
        <v>8578</v>
      </c>
      <c r="C17" s="34"/>
      <c r="D17" s="33">
        <f>SUM(D7:D16)</f>
        <v>519</v>
      </c>
      <c r="E17" s="33">
        <f>SUM(E9:E16)</f>
        <v>147</v>
      </c>
      <c r="F17" s="33">
        <f>SUM(F9:F16)</f>
        <v>-1314</v>
      </c>
      <c r="G17" s="33">
        <f>SUM(G9:G16)</f>
        <v>262</v>
      </c>
      <c r="H17" s="33">
        <f>SUM(H9:H16)</f>
        <v>8192</v>
      </c>
      <c r="I17" s="34"/>
      <c r="J17" s="33">
        <f>SUM(J9:J16)</f>
        <v>106</v>
      </c>
      <c r="K17" s="33">
        <f>SUM(K9:K16)</f>
        <v>-625.1999999999999</v>
      </c>
      <c r="L17" s="33">
        <f>SUM(L9:L16)</f>
        <v>284.025</v>
      </c>
      <c r="M17" s="33">
        <f>SUM(M9:M16)</f>
        <v>7956.825</v>
      </c>
      <c r="N17" s="34"/>
      <c r="O17" s="33">
        <f>SUM(O9:O16)</f>
        <v>129</v>
      </c>
      <c r="P17" s="33">
        <f>SUM(P9:P16)</f>
        <v>-643.8</v>
      </c>
      <c r="Q17" s="33">
        <f>SUM(Q9:Q16)</f>
        <v>296.3041675</v>
      </c>
      <c r="R17" s="33">
        <f>SUM(R9:R16)</f>
        <v>7738.3291675</v>
      </c>
      <c r="S17" s="34"/>
      <c r="T17" s="33">
        <f>SUM(T9:T16)</f>
        <v>149</v>
      </c>
      <c r="U17" s="33">
        <f>SUM(U9:U16)</f>
        <v>-704</v>
      </c>
      <c r="V17" s="33">
        <f>SUM(V9:V16)</f>
        <v>309.71938919549996</v>
      </c>
      <c r="W17" s="33">
        <f>SUM(W9:W16)</f>
        <v>7493.048556695499</v>
      </c>
    </row>
    <row r="19" spans="2:23" ht="12.75">
      <c r="B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</row>
    <row r="21" spans="1:14" ht="12.75">
      <c r="A21" s="49" t="s">
        <v>47</v>
      </c>
      <c r="B21" s="14"/>
      <c r="G21" s="14"/>
      <c r="H21" s="14"/>
      <c r="J21" s="14"/>
      <c r="K21" s="14"/>
      <c r="L21" s="14"/>
      <c r="M21" s="14"/>
      <c r="N21" s="14"/>
    </row>
    <row r="22" spans="1:6" ht="12.75">
      <c r="A22" s="49"/>
      <c r="F22" s="105"/>
    </row>
    <row r="23" spans="1:4" ht="12.75">
      <c r="A23" s="49" t="s">
        <v>114</v>
      </c>
      <c r="D23" s="105"/>
    </row>
    <row r="24" ht="12.75">
      <c r="A24" s="49" t="s">
        <v>115</v>
      </c>
    </row>
    <row r="25" ht="12.75">
      <c r="A25" s="49" t="s">
        <v>116</v>
      </c>
    </row>
    <row r="26" spans="1:7" ht="12.75">
      <c r="A26" s="49" t="s">
        <v>117</v>
      </c>
      <c r="G26" s="105"/>
    </row>
  </sheetData>
  <mergeCells count="3">
    <mergeCell ref="D5:H5"/>
    <mergeCell ref="J5:M5"/>
    <mergeCell ref="O5:R5"/>
  </mergeCells>
  <printOptions/>
  <pageMargins left="0.75" right="0.75" top="1" bottom="1" header="0.5" footer="0.5"/>
  <pageSetup fitToHeight="1" fitToWidth="1" horizontalDpi="600" verticalDpi="600" orientation="landscape" paperSize="9" scale="58" r:id="rId1"/>
  <headerFooter alignWithMargins="0">
    <oddHeader>&amp;CBUGDET MATRIX - OBJECTIVE ANALYSIS&amp;RAppendic C</oddHeader>
    <oddFooter>&amp;L&amp;9&amp;Z&amp;F&amp;R113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1">
      <selection activeCell="F23" sqref="F23"/>
    </sheetView>
  </sheetViews>
  <sheetFormatPr defaultColWidth="9.140625" defaultRowHeight="12.75"/>
  <cols>
    <col min="1" max="1" width="35.8515625" style="0" customWidth="1"/>
    <col min="2" max="2" width="10.57421875" style="0" customWidth="1"/>
    <col min="3" max="3" width="0.42578125" style="0" customWidth="1"/>
    <col min="4" max="4" width="13.140625" style="0" customWidth="1"/>
    <col min="5" max="5" width="8.28125" style="0" customWidth="1"/>
    <col min="6" max="6" width="11.421875" style="0" customWidth="1"/>
    <col min="7" max="7" width="8.8515625" style="0" customWidth="1"/>
    <col min="8" max="8" width="9.421875" style="0" customWidth="1"/>
    <col min="9" max="9" width="0.42578125" style="0" customWidth="1"/>
    <col min="10" max="10" width="13.28125" style="0" customWidth="1"/>
    <col min="11" max="11" width="11.28125" style="0" customWidth="1"/>
    <col min="12" max="12" width="8.28125" style="0" customWidth="1"/>
    <col min="13" max="13" width="10.28125" style="0" customWidth="1"/>
    <col min="14" max="14" width="0.42578125" style="0" customWidth="1"/>
    <col min="15" max="15" width="12.28125" style="0" customWidth="1"/>
    <col min="16" max="16" width="11.140625" style="0" customWidth="1"/>
    <col min="17" max="17" width="8.28125" style="0" customWidth="1"/>
    <col min="18" max="18" width="10.28125" style="0" customWidth="1"/>
    <col min="19" max="19" width="0.9921875" style="0" customWidth="1"/>
    <col min="20" max="20" width="12.421875" style="0" customWidth="1"/>
    <col min="21" max="21" width="10.57421875" style="0" customWidth="1"/>
    <col min="22" max="22" width="8.421875" style="0" customWidth="1"/>
    <col min="23" max="23" width="9.57421875" style="0" customWidth="1"/>
  </cols>
  <sheetData>
    <row r="1" spans="1:22" ht="15.75">
      <c r="A1" s="13" t="s">
        <v>119</v>
      </c>
      <c r="B1" s="14"/>
      <c r="G1" s="14"/>
      <c r="H1" s="14"/>
      <c r="J1" s="14"/>
      <c r="K1" s="14"/>
      <c r="L1" s="14"/>
      <c r="M1" s="14"/>
      <c r="N1" s="14"/>
      <c r="V1" s="13"/>
    </row>
    <row r="2" spans="1:23" ht="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4" spans="1:23" ht="15.75">
      <c r="A4" s="15"/>
      <c r="B4" s="16" t="s">
        <v>20</v>
      </c>
      <c r="C4" s="17"/>
      <c r="D4" s="123" t="s">
        <v>0</v>
      </c>
      <c r="E4" s="124"/>
      <c r="F4" s="124"/>
      <c r="G4" s="124"/>
      <c r="H4" s="125"/>
      <c r="I4" s="18"/>
      <c r="J4" s="126" t="s">
        <v>1</v>
      </c>
      <c r="K4" s="127"/>
      <c r="L4" s="127"/>
      <c r="M4" s="128"/>
      <c r="N4" s="19"/>
      <c r="O4" s="126" t="s">
        <v>2</v>
      </c>
      <c r="P4" s="127"/>
      <c r="Q4" s="127"/>
      <c r="R4" s="128"/>
      <c r="S4" s="19"/>
      <c r="T4" s="20" t="s">
        <v>3</v>
      </c>
      <c r="U4" s="20"/>
      <c r="V4" s="20"/>
      <c r="W4" s="21"/>
    </row>
    <row r="5" spans="1:23" ht="89.25">
      <c r="A5" s="22" t="s">
        <v>21</v>
      </c>
      <c r="B5" s="23" t="s">
        <v>48</v>
      </c>
      <c r="C5" s="24"/>
      <c r="D5" s="25" t="s">
        <v>22</v>
      </c>
      <c r="E5" s="25" t="s">
        <v>23</v>
      </c>
      <c r="F5" s="25" t="s">
        <v>24</v>
      </c>
      <c r="G5" s="25" t="s">
        <v>25</v>
      </c>
      <c r="H5" s="23" t="s">
        <v>49</v>
      </c>
      <c r="I5" s="26"/>
      <c r="J5" s="25" t="s">
        <v>26</v>
      </c>
      <c r="K5" s="25" t="s">
        <v>27</v>
      </c>
      <c r="L5" s="25" t="s">
        <v>28</v>
      </c>
      <c r="M5" s="27" t="s">
        <v>50</v>
      </c>
      <c r="N5" s="28"/>
      <c r="O5" s="25" t="s">
        <v>29</v>
      </c>
      <c r="P5" s="25" t="s">
        <v>30</v>
      </c>
      <c r="Q5" s="25" t="s">
        <v>31</v>
      </c>
      <c r="R5" s="23" t="s">
        <v>51</v>
      </c>
      <c r="S5" s="28"/>
      <c r="T5" s="25" t="s">
        <v>32</v>
      </c>
      <c r="U5" s="25" t="s">
        <v>33</v>
      </c>
      <c r="V5" s="25" t="s">
        <v>34</v>
      </c>
      <c r="W5" s="23" t="s">
        <v>52</v>
      </c>
    </row>
    <row r="6" spans="1:23" ht="24.75" customHeight="1">
      <c r="A6" s="51"/>
      <c r="B6" s="29"/>
      <c r="C6" s="30"/>
      <c r="D6" s="29"/>
      <c r="E6" s="29"/>
      <c r="F6" s="29"/>
      <c r="G6" s="29"/>
      <c r="H6" s="29"/>
      <c r="I6" s="30"/>
      <c r="J6" s="31"/>
      <c r="K6" s="29"/>
      <c r="L6" s="29"/>
      <c r="M6" s="32"/>
      <c r="N6" s="30"/>
      <c r="O6" s="31"/>
      <c r="P6" s="29"/>
      <c r="Q6" s="29"/>
      <c r="R6" s="29"/>
      <c r="S6" s="30"/>
      <c r="T6" s="31"/>
      <c r="U6" s="29"/>
      <c r="V6" s="29"/>
      <c r="W6" s="29"/>
    </row>
    <row r="7" spans="1:23" s="82" customFormat="1" ht="24.75" customHeight="1">
      <c r="A7" s="107" t="s">
        <v>39</v>
      </c>
      <c r="B7" s="93">
        <v>752</v>
      </c>
      <c r="C7" s="95"/>
      <c r="D7" s="93">
        <v>5</v>
      </c>
      <c r="E7" s="93"/>
      <c r="F7" s="93">
        <f>-15-100</f>
        <v>-115</v>
      </c>
      <c r="G7" s="93">
        <v>17</v>
      </c>
      <c r="H7" s="93">
        <f>SUM(B7:G7)</f>
        <v>659</v>
      </c>
      <c r="I7" s="95"/>
      <c r="J7" s="86">
        <f>4+100</f>
        <v>104</v>
      </c>
      <c r="K7" s="93"/>
      <c r="L7" s="93">
        <v>24</v>
      </c>
      <c r="M7" s="94">
        <f>SUM(H7:L7)</f>
        <v>787</v>
      </c>
      <c r="N7" s="95"/>
      <c r="O7" s="86">
        <v>4</v>
      </c>
      <c r="P7" s="93"/>
      <c r="Q7" s="93">
        <v>27.293805500000005</v>
      </c>
      <c r="R7" s="94">
        <f>SUM(M7:Q7)</f>
        <v>818.2938055</v>
      </c>
      <c r="S7" s="95"/>
      <c r="T7" s="86">
        <v>4</v>
      </c>
      <c r="U7" s="93"/>
      <c r="V7" s="93">
        <v>28.2979146703</v>
      </c>
      <c r="W7" s="93">
        <f>SUM(R7:V7)</f>
        <v>850.5917201702999</v>
      </c>
    </row>
    <row r="8" spans="1:23" s="82" customFormat="1" ht="24.75" customHeight="1">
      <c r="A8" s="107" t="s">
        <v>40</v>
      </c>
      <c r="B8" s="93">
        <v>2039</v>
      </c>
      <c r="C8" s="95"/>
      <c r="D8" s="93">
        <v>118</v>
      </c>
      <c r="E8" s="93"/>
      <c r="F8" s="93">
        <v>-298</v>
      </c>
      <c r="G8" s="93">
        <v>48</v>
      </c>
      <c r="H8" s="93">
        <f>SUM(B8:G8)</f>
        <v>1907</v>
      </c>
      <c r="I8" s="95"/>
      <c r="J8" s="86">
        <v>11</v>
      </c>
      <c r="K8" s="93"/>
      <c r="L8" s="93">
        <v>67</v>
      </c>
      <c r="M8" s="94">
        <f aca="true" t="shared" si="0" ref="M8:M15">SUM(H8:L8)</f>
        <v>1985</v>
      </c>
      <c r="N8" s="95"/>
      <c r="O8" s="86">
        <v>12</v>
      </c>
      <c r="P8" s="93"/>
      <c r="Q8" s="93">
        <v>68.8706515</v>
      </c>
      <c r="R8" s="94">
        <f aca="true" t="shared" si="1" ref="R8:R15">SUM(M8:Q8)</f>
        <v>2065.8706515</v>
      </c>
      <c r="S8" s="95"/>
      <c r="T8" s="86">
        <v>12</v>
      </c>
      <c r="U8" s="93"/>
      <c r="V8" s="93">
        <v>71.47030154189999</v>
      </c>
      <c r="W8" s="93">
        <f aca="true" t="shared" si="2" ref="W8:W15">SUM(R8:V8)</f>
        <v>2149.3409530419</v>
      </c>
    </row>
    <row r="9" spans="1:23" s="82" customFormat="1" ht="24.75" customHeight="1">
      <c r="A9" s="107" t="s">
        <v>57</v>
      </c>
      <c r="B9" s="93">
        <v>2445</v>
      </c>
      <c r="C9" s="95"/>
      <c r="D9" s="93">
        <v>1904</v>
      </c>
      <c r="E9" s="93"/>
      <c r="F9" s="93">
        <f>-264-40</f>
        <v>-304</v>
      </c>
      <c r="G9" s="93">
        <v>40</v>
      </c>
      <c r="H9" s="93">
        <f aca="true" t="shared" si="3" ref="H9:H15">SUM(B9:G9)</f>
        <v>4085</v>
      </c>
      <c r="I9" s="95"/>
      <c r="J9" s="86">
        <f>21+40</f>
        <v>61</v>
      </c>
      <c r="K9" s="93"/>
      <c r="L9" s="93">
        <v>144</v>
      </c>
      <c r="M9" s="94">
        <f t="shared" si="0"/>
        <v>4290</v>
      </c>
      <c r="N9" s="95"/>
      <c r="O9" s="86">
        <v>21</v>
      </c>
      <c r="P9" s="93"/>
      <c r="Q9" s="93">
        <v>148.8760125</v>
      </c>
      <c r="R9" s="94">
        <f t="shared" si="1"/>
        <v>4459.8760125</v>
      </c>
      <c r="S9" s="95"/>
      <c r="T9" s="86">
        <v>22</v>
      </c>
      <c r="U9" s="93"/>
      <c r="V9" s="93">
        <v>153.32468503249999</v>
      </c>
      <c r="W9" s="93">
        <f t="shared" si="2"/>
        <v>4635.2006975325</v>
      </c>
    </row>
    <row r="10" spans="1:23" s="82" customFormat="1" ht="24.75" customHeight="1">
      <c r="A10" s="107" t="s">
        <v>56</v>
      </c>
      <c r="B10" s="93">
        <v>0</v>
      </c>
      <c r="C10" s="95"/>
      <c r="D10" s="93">
        <v>569</v>
      </c>
      <c r="E10" s="93">
        <v>33</v>
      </c>
      <c r="F10" s="93">
        <v>-60</v>
      </c>
      <c r="G10" s="93">
        <v>0</v>
      </c>
      <c r="H10" s="93">
        <f t="shared" si="3"/>
        <v>542</v>
      </c>
      <c r="I10" s="95"/>
      <c r="J10" s="86">
        <f>14-33</f>
        <v>-19</v>
      </c>
      <c r="K10" s="93"/>
      <c r="L10" s="93">
        <v>20</v>
      </c>
      <c r="M10" s="94">
        <f t="shared" si="0"/>
        <v>543</v>
      </c>
      <c r="N10" s="95"/>
      <c r="O10" s="86">
        <v>14</v>
      </c>
      <c r="P10" s="93"/>
      <c r="Q10" s="93">
        <v>20.9211505</v>
      </c>
      <c r="R10" s="94">
        <f t="shared" si="1"/>
        <v>577.9211505</v>
      </c>
      <c r="S10" s="95"/>
      <c r="T10" s="86">
        <v>14</v>
      </c>
      <c r="U10" s="93"/>
      <c r="V10" s="93">
        <v>22.069130807299995</v>
      </c>
      <c r="W10" s="93">
        <f t="shared" si="2"/>
        <v>613.9902813072999</v>
      </c>
    </row>
    <row r="11" spans="1:23" s="82" customFormat="1" ht="24.75" customHeight="1">
      <c r="A11" s="107" t="s">
        <v>41</v>
      </c>
      <c r="B11" s="93">
        <v>1465</v>
      </c>
      <c r="C11" s="95"/>
      <c r="D11" s="93">
        <v>65</v>
      </c>
      <c r="E11" s="93"/>
      <c r="F11" s="93">
        <v>-191</v>
      </c>
      <c r="G11" s="98">
        <v>45</v>
      </c>
      <c r="H11" s="93">
        <f t="shared" si="3"/>
        <v>1384</v>
      </c>
      <c r="I11" s="95"/>
      <c r="J11" s="86">
        <v>34</v>
      </c>
      <c r="K11" s="93">
        <v>13</v>
      </c>
      <c r="L11" s="93">
        <v>48</v>
      </c>
      <c r="M11" s="94">
        <f t="shared" si="0"/>
        <v>1479</v>
      </c>
      <c r="N11" s="95"/>
      <c r="O11" s="86">
        <v>35</v>
      </c>
      <c r="P11" s="93"/>
      <c r="Q11" s="93">
        <v>50.885468</v>
      </c>
      <c r="R11" s="94">
        <f t="shared" si="1"/>
        <v>1564.885468</v>
      </c>
      <c r="S11" s="95"/>
      <c r="T11" s="86">
        <v>36</v>
      </c>
      <c r="U11" s="93"/>
      <c r="V11" s="93">
        <v>53.7104611928</v>
      </c>
      <c r="W11" s="93">
        <f t="shared" si="2"/>
        <v>1654.5959291928</v>
      </c>
    </row>
    <row r="12" spans="1:23" s="82" customFormat="1" ht="24.75" customHeight="1">
      <c r="A12" s="107" t="s">
        <v>42</v>
      </c>
      <c r="B12" s="93">
        <v>2550</v>
      </c>
      <c r="C12" s="95"/>
      <c r="D12" s="93">
        <v>65</v>
      </c>
      <c r="E12" s="93"/>
      <c r="F12" s="93">
        <f>-254-40</f>
        <v>-294</v>
      </c>
      <c r="G12" s="98">
        <v>65</v>
      </c>
      <c r="H12" s="93">
        <f t="shared" si="3"/>
        <v>2386</v>
      </c>
      <c r="I12" s="95"/>
      <c r="J12" s="86">
        <f>27+40</f>
        <v>67</v>
      </c>
      <c r="K12" s="93"/>
      <c r="L12" s="93">
        <v>85</v>
      </c>
      <c r="M12" s="94">
        <f t="shared" si="0"/>
        <v>2538</v>
      </c>
      <c r="N12" s="95"/>
      <c r="O12" s="86">
        <v>27</v>
      </c>
      <c r="P12" s="93"/>
      <c r="Q12" s="93">
        <v>88.065477</v>
      </c>
      <c r="R12" s="94">
        <f t="shared" si="1"/>
        <v>2653.065477</v>
      </c>
      <c r="S12" s="95"/>
      <c r="T12" s="86">
        <v>28</v>
      </c>
      <c r="U12" s="93"/>
      <c r="V12" s="93">
        <v>91.79295150419999</v>
      </c>
      <c r="W12" s="93">
        <f t="shared" si="2"/>
        <v>2772.8584285042</v>
      </c>
    </row>
    <row r="13" spans="1:23" s="82" customFormat="1" ht="24.75" customHeight="1">
      <c r="A13" s="107" t="s">
        <v>43</v>
      </c>
      <c r="B13" s="93">
        <v>267</v>
      </c>
      <c r="C13" s="95"/>
      <c r="D13" s="93">
        <v>0</v>
      </c>
      <c r="E13" s="93"/>
      <c r="F13" s="93">
        <v>0</v>
      </c>
      <c r="G13" s="98">
        <v>2</v>
      </c>
      <c r="H13" s="93">
        <f t="shared" si="3"/>
        <v>269</v>
      </c>
      <c r="I13" s="95"/>
      <c r="J13" s="86">
        <v>2</v>
      </c>
      <c r="K13" s="93"/>
      <c r="L13" s="93">
        <v>9</v>
      </c>
      <c r="M13" s="94">
        <f t="shared" si="0"/>
        <v>280</v>
      </c>
      <c r="N13" s="95"/>
      <c r="O13" s="86">
        <v>2</v>
      </c>
      <c r="P13" s="93"/>
      <c r="Q13" s="93">
        <v>9</v>
      </c>
      <c r="R13" s="94">
        <f t="shared" si="1"/>
        <v>291</v>
      </c>
      <c r="S13" s="95"/>
      <c r="T13" s="86">
        <v>2</v>
      </c>
      <c r="U13" s="93"/>
      <c r="V13" s="93">
        <v>10.082959</v>
      </c>
      <c r="W13" s="93">
        <f t="shared" si="2"/>
        <v>303.082959</v>
      </c>
    </row>
    <row r="14" spans="1:23" ht="24.75" customHeight="1">
      <c r="A14" s="51" t="s">
        <v>44</v>
      </c>
      <c r="B14" s="29">
        <v>16</v>
      </c>
      <c r="C14" s="30"/>
      <c r="D14" s="29">
        <v>-41</v>
      </c>
      <c r="E14" s="29"/>
      <c r="F14" s="29">
        <v>-14</v>
      </c>
      <c r="G14" s="29">
        <v>0</v>
      </c>
      <c r="H14" s="29">
        <f t="shared" si="3"/>
        <v>-39</v>
      </c>
      <c r="I14" s="30"/>
      <c r="J14" s="31"/>
      <c r="K14" s="29"/>
      <c r="L14" s="29">
        <v>0</v>
      </c>
      <c r="M14" s="94">
        <f t="shared" si="0"/>
        <v>-39</v>
      </c>
      <c r="N14" s="30"/>
      <c r="O14" s="31"/>
      <c r="P14" s="29"/>
      <c r="Q14" s="29">
        <v>-1.3533000000000002</v>
      </c>
      <c r="R14" s="94">
        <f t="shared" si="1"/>
        <v>-40.3533</v>
      </c>
      <c r="S14" s="30"/>
      <c r="T14" s="31">
        <v>0</v>
      </c>
      <c r="U14" s="29"/>
      <c r="V14" s="29">
        <v>-1.39622418</v>
      </c>
      <c r="W14" s="93">
        <f t="shared" si="2"/>
        <v>-41.749524179999995</v>
      </c>
    </row>
    <row r="15" spans="1:23" ht="24.75" customHeight="1">
      <c r="A15" s="51" t="s">
        <v>45</v>
      </c>
      <c r="B15" s="29">
        <v>2279</v>
      </c>
      <c r="C15" s="30"/>
      <c r="D15" s="29">
        <v>0</v>
      </c>
      <c r="E15" s="29"/>
      <c r="F15" s="29">
        <v>0</v>
      </c>
      <c r="G15" s="29">
        <v>0</v>
      </c>
      <c r="H15" s="29">
        <f t="shared" si="3"/>
        <v>2279</v>
      </c>
      <c r="I15" s="30"/>
      <c r="J15" s="31">
        <v>-2279</v>
      </c>
      <c r="K15" s="29"/>
      <c r="L15" s="29">
        <v>0</v>
      </c>
      <c r="M15" s="94">
        <f t="shared" si="0"/>
        <v>0</v>
      </c>
      <c r="N15" s="30"/>
      <c r="O15" s="31"/>
      <c r="P15" s="29"/>
      <c r="Q15" s="29">
        <v>0</v>
      </c>
      <c r="R15" s="94">
        <f t="shared" si="1"/>
        <v>0</v>
      </c>
      <c r="S15" s="30"/>
      <c r="T15" s="31">
        <v>0</v>
      </c>
      <c r="U15" s="29"/>
      <c r="V15" s="29">
        <v>0</v>
      </c>
      <c r="W15" s="93">
        <f t="shared" si="2"/>
        <v>0</v>
      </c>
    </row>
    <row r="16" spans="1:23" ht="24.75" customHeight="1">
      <c r="A16" s="51"/>
      <c r="B16" s="29"/>
      <c r="C16" s="30"/>
      <c r="D16" s="29"/>
      <c r="E16" s="29"/>
      <c r="F16" s="29"/>
      <c r="G16" s="29"/>
      <c r="H16" s="29"/>
      <c r="I16" s="30"/>
      <c r="J16" s="31"/>
      <c r="K16" s="29"/>
      <c r="L16" s="29"/>
      <c r="M16" s="32"/>
      <c r="N16" s="30"/>
      <c r="O16" s="31"/>
      <c r="P16" s="29"/>
      <c r="Q16" s="29"/>
      <c r="R16" s="29"/>
      <c r="S16" s="30"/>
      <c r="T16" s="31"/>
      <c r="U16" s="29"/>
      <c r="V16" s="29"/>
      <c r="W16" s="29">
        <v>0</v>
      </c>
    </row>
    <row r="17" spans="1:23" ht="24.75" customHeight="1">
      <c r="A17" s="38" t="s">
        <v>46</v>
      </c>
      <c r="B17" s="33">
        <f>SUM(B7:B16)</f>
        <v>11813</v>
      </c>
      <c r="C17" s="33">
        <v>0</v>
      </c>
      <c r="D17" s="33">
        <f>SUM(D7:D16)</f>
        <v>2685</v>
      </c>
      <c r="E17" s="33">
        <f>SUM(E7:E16)</f>
        <v>33</v>
      </c>
      <c r="F17" s="33">
        <f>SUM(F7:F16)</f>
        <v>-1276</v>
      </c>
      <c r="G17" s="33">
        <f>SUM(G7:G16)</f>
        <v>217</v>
      </c>
      <c r="H17" s="33">
        <f>SUM(H7:H16)</f>
        <v>13472</v>
      </c>
      <c r="I17" s="34"/>
      <c r="J17" s="33">
        <f>SUM(J7:J16)</f>
        <v>-2019</v>
      </c>
      <c r="K17" s="33">
        <f>SUM(K7:K16)</f>
        <v>13</v>
      </c>
      <c r="L17" s="33">
        <f>SUM(L7:L16)</f>
        <v>397</v>
      </c>
      <c r="M17" s="33">
        <f>SUM(M7:M16)</f>
        <v>11863</v>
      </c>
      <c r="N17" s="34"/>
      <c r="O17" s="33">
        <f>SUM(O7:O16)</f>
        <v>115</v>
      </c>
      <c r="P17" s="33">
        <f>SUM(P7:P16)</f>
        <v>0</v>
      </c>
      <c r="Q17" s="33">
        <f>SUM(Q7:Q16)</f>
        <v>412.559265</v>
      </c>
      <c r="R17" s="33">
        <f>SUM(R7:R16)</f>
        <v>12390.559265</v>
      </c>
      <c r="S17" s="34"/>
      <c r="T17" s="33">
        <f>SUM(T7:T16)</f>
        <v>118</v>
      </c>
      <c r="U17" s="33">
        <f>SUM(U7:U16)</f>
        <v>0</v>
      </c>
      <c r="V17" s="33">
        <f>SUM(V7:V16)</f>
        <v>429.352179569</v>
      </c>
      <c r="W17" s="33">
        <f>SUM(W7:W16)</f>
        <v>12937.911444568997</v>
      </c>
    </row>
    <row r="18" spans="1:23" ht="24.75" customHeight="1">
      <c r="A18" s="52" t="s">
        <v>19</v>
      </c>
      <c r="B18" s="29"/>
      <c r="C18" s="30"/>
      <c r="D18" s="29"/>
      <c r="E18" s="29"/>
      <c r="F18" s="29">
        <v>0</v>
      </c>
      <c r="G18" s="29"/>
      <c r="H18" s="29">
        <v>0</v>
      </c>
      <c r="I18" s="30"/>
      <c r="J18" s="29">
        <v>0</v>
      </c>
      <c r="K18" s="29">
        <f>-1042*0.4-13</f>
        <v>-429.8</v>
      </c>
      <c r="L18" s="29">
        <v>0</v>
      </c>
      <c r="M18" s="32">
        <f>K18</f>
        <v>-429.8</v>
      </c>
      <c r="N18" s="30"/>
      <c r="O18" s="31">
        <v>0</v>
      </c>
      <c r="P18" s="29">
        <f>-1073*0.4</f>
        <v>-429.20000000000005</v>
      </c>
      <c r="Q18" s="29">
        <v>0</v>
      </c>
      <c r="R18" s="29">
        <f>M18+P18</f>
        <v>-859</v>
      </c>
      <c r="S18" s="30"/>
      <c r="T18" s="29">
        <v>0</v>
      </c>
      <c r="U18" s="29">
        <f>-1005*0.4</f>
        <v>-402</v>
      </c>
      <c r="V18" s="29">
        <v>0</v>
      </c>
      <c r="W18" s="29">
        <f>R18+U18</f>
        <v>-1261</v>
      </c>
    </row>
    <row r="19" spans="1:23" ht="24.75" customHeight="1">
      <c r="A19" s="35"/>
      <c r="B19" s="36"/>
      <c r="C19" s="37"/>
      <c r="D19" s="36"/>
      <c r="E19" s="36"/>
      <c r="F19" s="36"/>
      <c r="G19" s="36"/>
      <c r="H19" s="29"/>
      <c r="I19" s="37"/>
      <c r="J19" s="36"/>
      <c r="K19" s="36"/>
      <c r="L19" s="36"/>
      <c r="M19" s="32"/>
      <c r="N19" s="36"/>
      <c r="O19" s="36"/>
      <c r="P19" s="36"/>
      <c r="Q19" s="36"/>
      <c r="R19" s="29"/>
      <c r="S19" s="36"/>
      <c r="T19" s="36"/>
      <c r="U19" s="36"/>
      <c r="V19" s="36"/>
      <c r="W19" s="29"/>
    </row>
    <row r="20" spans="1:23" ht="24.75" customHeight="1">
      <c r="A20" s="38" t="s">
        <v>46</v>
      </c>
      <c r="B20" s="33">
        <f>B17+B18</f>
        <v>11813</v>
      </c>
      <c r="C20" s="33">
        <v>0</v>
      </c>
      <c r="D20" s="33">
        <f aca="true" t="shared" si="4" ref="D20:W20">D17+D18</f>
        <v>2685</v>
      </c>
      <c r="E20" s="33">
        <f t="shared" si="4"/>
        <v>33</v>
      </c>
      <c r="F20" s="33">
        <f t="shared" si="4"/>
        <v>-1276</v>
      </c>
      <c r="G20" s="33">
        <f t="shared" si="4"/>
        <v>217</v>
      </c>
      <c r="H20" s="33">
        <f t="shared" si="4"/>
        <v>13472</v>
      </c>
      <c r="I20" s="39"/>
      <c r="J20" s="33">
        <f t="shared" si="4"/>
        <v>-2019</v>
      </c>
      <c r="K20" s="33">
        <f t="shared" si="4"/>
        <v>-416.8</v>
      </c>
      <c r="L20" s="33">
        <f t="shared" si="4"/>
        <v>397</v>
      </c>
      <c r="M20" s="33">
        <f t="shared" si="4"/>
        <v>11433.2</v>
      </c>
      <c r="N20" s="33"/>
      <c r="O20" s="33">
        <f t="shared" si="4"/>
        <v>115</v>
      </c>
      <c r="P20" s="33">
        <f t="shared" si="4"/>
        <v>-429.20000000000005</v>
      </c>
      <c r="Q20" s="33">
        <f>Q17+Q18</f>
        <v>412.559265</v>
      </c>
      <c r="R20" s="33">
        <f t="shared" si="4"/>
        <v>11531.559265</v>
      </c>
      <c r="S20" s="33"/>
      <c r="T20" s="33">
        <f t="shared" si="4"/>
        <v>118</v>
      </c>
      <c r="U20" s="33">
        <f t="shared" si="4"/>
        <v>-402</v>
      </c>
      <c r="V20" s="33">
        <f>V17+V18</f>
        <v>429.352179569</v>
      </c>
      <c r="W20" s="33">
        <f t="shared" si="4"/>
        <v>11676.911444568997</v>
      </c>
    </row>
    <row r="21" spans="1:23" ht="12.75">
      <c r="A21" s="41"/>
      <c r="B21" s="42"/>
      <c r="C21" s="42"/>
      <c r="D21" s="42"/>
      <c r="E21" s="42"/>
      <c r="F21" s="42"/>
      <c r="G21" s="42"/>
      <c r="H21" s="42"/>
      <c r="I21" s="4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2.75">
      <c r="A22" s="41"/>
      <c r="B22" s="42"/>
      <c r="C22" s="42"/>
      <c r="D22" s="42"/>
      <c r="E22" s="42"/>
      <c r="F22" s="42"/>
      <c r="G22" s="42"/>
      <c r="H22" s="42"/>
      <c r="I22" s="43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2.75">
      <c r="A23" s="44" t="s">
        <v>55</v>
      </c>
      <c r="B23" s="45" t="s">
        <v>55</v>
      </c>
      <c r="C23" s="45"/>
      <c r="D23" s="45"/>
      <c r="E23" s="46"/>
      <c r="F23" s="42" t="s">
        <v>55</v>
      </c>
      <c r="G23" s="46"/>
      <c r="H23" s="47"/>
      <c r="I23" s="45"/>
      <c r="J23" s="46"/>
      <c r="K23" s="46"/>
      <c r="L23" s="46"/>
      <c r="M23" s="46"/>
      <c r="N23" s="46"/>
      <c r="O23" s="45"/>
      <c r="P23" s="45"/>
      <c r="Q23" s="45"/>
      <c r="R23" s="45"/>
      <c r="S23" s="48"/>
      <c r="T23" s="48"/>
      <c r="U23" s="48"/>
      <c r="V23" s="48"/>
      <c r="W23" s="48"/>
    </row>
    <row r="24" spans="1:14" ht="12.75">
      <c r="A24" s="49" t="s">
        <v>47</v>
      </c>
      <c r="B24" s="14"/>
      <c r="G24" s="14"/>
      <c r="H24" s="14"/>
      <c r="J24" s="14"/>
      <c r="K24" s="14"/>
      <c r="L24" s="14"/>
      <c r="M24" s="14"/>
      <c r="N24" s="14"/>
    </row>
    <row r="25" ht="12.75">
      <c r="A25" s="49"/>
    </row>
    <row r="26" ht="12.75">
      <c r="A26" s="49" t="s">
        <v>114</v>
      </c>
    </row>
    <row r="27" ht="12.75">
      <c r="A27" s="49" t="s">
        <v>115</v>
      </c>
    </row>
    <row r="28" ht="12.75">
      <c r="A28" s="49" t="s">
        <v>116</v>
      </c>
    </row>
    <row r="29" ht="12.75">
      <c r="A29" s="49" t="s">
        <v>117</v>
      </c>
    </row>
  </sheetData>
  <mergeCells count="4">
    <mergeCell ref="A2:W2"/>
    <mergeCell ref="D4:H4"/>
    <mergeCell ref="J4:M4"/>
    <mergeCell ref="O4:R4"/>
  </mergeCells>
  <printOptions/>
  <pageMargins left="0.75" right="0.75" top="1" bottom="1" header="0.5" footer="0.5"/>
  <pageSetup horizontalDpi="600" verticalDpi="600" orientation="landscape" paperSize="9" scale="55" r:id="rId1"/>
  <headerFooter alignWithMargins="0">
    <oddHeader>&amp;CBUDGET MATRIX - OBJECTIVE ANALYSIS&amp;RAppendix C</oddHeader>
    <oddFooter>&amp;L&amp;9&amp;Z&amp;F&amp;R114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balac</dc:creator>
  <cp:keywords/>
  <dc:description/>
  <cp:lastModifiedBy>gossp</cp:lastModifiedBy>
  <cp:lastPrinted>2007-02-15T10:15:52Z</cp:lastPrinted>
  <dcterms:created xsi:type="dcterms:W3CDTF">2007-01-22T15:00:58Z</dcterms:created>
  <dcterms:modified xsi:type="dcterms:W3CDTF">2007-02-26T12:45:35Z</dcterms:modified>
  <cp:category/>
  <cp:version/>
  <cp:contentType/>
  <cp:contentStatus/>
</cp:coreProperties>
</file>