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92" firstSheet="2" activeTab="6"/>
  </bookViews>
  <sheets>
    <sheet name="Revenue Implications" sheetId="1" state="hidden" r:id="rId1"/>
    <sheet name="Comp Forecast to November Posit" sheetId="2" state="hidden" r:id="rId2"/>
    <sheet name="Forecast Programme" sheetId="3" r:id="rId3"/>
    <sheet name="Education Programme" sheetId="4" r:id="rId4"/>
    <sheet name="Environment Programme" sheetId="5" r:id="rId5"/>
    <sheet name="Social Services Programme" sheetId="6" r:id="rId6"/>
    <sheet name="Housing Programme" sheetId="7" r:id="rId7"/>
    <sheet name="Corporate Services Programme" sheetId="8" r:id="rId8"/>
  </sheets>
  <definedNames>
    <definedName name="_xlnm.Print_Area" localSheetId="2">'Forecast Programme'!$A$1:$G$112</definedName>
    <definedName name="_xlnm.Print_Titles" localSheetId="3">'Education Programme'!$5:$8</definedName>
    <definedName name="_xlnm.Print_Titles" localSheetId="4">'Environment Programme'!$5:$8</definedName>
    <definedName name="_xlnm.Print_Titles" localSheetId="5">'Social Services Programme'!$5:$8</definedName>
  </definedNames>
  <calcPr fullCalcOnLoad="1"/>
</workbook>
</file>

<file path=xl/sharedStrings.xml><?xml version="1.0" encoding="utf-8"?>
<sst xmlns="http://schemas.openxmlformats.org/spreadsheetml/2006/main" count="638" uniqueCount="273">
  <si>
    <t>2004/05</t>
  </si>
  <si>
    <t>2005/06</t>
  </si>
  <si>
    <t>2006/07</t>
  </si>
  <si>
    <t>Programme Details</t>
  </si>
  <si>
    <t>Budget</t>
  </si>
  <si>
    <t>£000</t>
  </si>
  <si>
    <t>RESOURCES:</t>
  </si>
  <si>
    <t>Capital Funding Account</t>
  </si>
  <si>
    <t>Capital Receipts in Year</t>
  </si>
  <si>
    <t>Total Resources</t>
  </si>
  <si>
    <t>EXPENDITURE:</t>
  </si>
  <si>
    <t>Education, Arts and Libraries:</t>
  </si>
  <si>
    <t xml:space="preserve"> Total Educ, Arts and Libs</t>
  </si>
  <si>
    <t>Environment :</t>
  </si>
  <si>
    <t>Total Environment</t>
  </si>
  <si>
    <t>Social Services:</t>
  </si>
  <si>
    <t>Total Social Services</t>
  </si>
  <si>
    <t>New Units</t>
  </si>
  <si>
    <t>ALMO</t>
  </si>
  <si>
    <t>Total Housing</t>
  </si>
  <si>
    <t>Corporate Services:</t>
  </si>
  <si>
    <t>Total Corporate Services</t>
  </si>
  <si>
    <t>Total Service Expenditure</t>
  </si>
  <si>
    <t>Central Items:</t>
  </si>
  <si>
    <t>Retention's</t>
  </si>
  <si>
    <t>Deferred Purchase</t>
  </si>
  <si>
    <t>Overall Total Expenditure</t>
  </si>
  <si>
    <t>(Surplus)/Deficit</t>
  </si>
  <si>
    <t>PSRSG and DFG council</t>
  </si>
  <si>
    <t>Supported Borrowing - General Fund:</t>
  </si>
  <si>
    <t>Supported Borrowing - Housing Revenue Account:</t>
  </si>
  <si>
    <t>Unsupported Borrowing - Housing Revenue Account:</t>
  </si>
  <si>
    <t>Grant Funded Schemes</t>
  </si>
  <si>
    <t>General Fund</t>
  </si>
  <si>
    <t>Housing Revenue Account</t>
  </si>
  <si>
    <t>Total Central Items</t>
  </si>
  <si>
    <t>Investment Plan</t>
  </si>
  <si>
    <t>2007/08</t>
  </si>
  <si>
    <t xml:space="preserve">Estate Access Corridor </t>
  </si>
  <si>
    <t>RESOURCES</t>
  </si>
  <si>
    <t>Total Expenditure</t>
  </si>
  <si>
    <t>FORECAST CAPITAL  PROGRAMME  2005/06 &amp; FUTURE YEARS</t>
  </si>
  <si>
    <t>Revised</t>
  </si>
  <si>
    <t>2004/05 Capital Programme (Surplus)/Deficit Carry Fwd</t>
  </si>
  <si>
    <t>Agreed Unsupported Borrowing - General Fund</t>
  </si>
  <si>
    <t>Housing: General Fund</t>
  </si>
  <si>
    <t>South Kilburn - Councils Contribution</t>
  </si>
  <si>
    <t>Central Government - SCE (R)</t>
  </si>
  <si>
    <t>Central Government - SCE (C)</t>
  </si>
  <si>
    <t>Environment Grant Income</t>
  </si>
  <si>
    <t>ALMO Round 2 - Year 3</t>
  </si>
  <si>
    <t>ALMO Round 2 - Top Up</t>
  </si>
  <si>
    <t xml:space="preserve">Disabled Facilities Grant </t>
  </si>
  <si>
    <t xml:space="preserve">South Kilburn Regeneration </t>
  </si>
  <si>
    <t>ALMO Round 4</t>
  </si>
  <si>
    <t>Approved Capitalisation of Revenue Expenditure</t>
  </si>
  <si>
    <t>Unsupported Borrowing (Self Funded - Schools Partnering Scheme)</t>
  </si>
  <si>
    <t>Schools Partnering Scheme (Self Funded)</t>
  </si>
  <si>
    <t>Unsupported Borrowing (Self Funded Schemes)</t>
  </si>
  <si>
    <t>Self Funded Schemes</t>
  </si>
  <si>
    <t>S106 Funding</t>
  </si>
  <si>
    <t xml:space="preserve">Local Authority Social Housing Grant Transitional Grant </t>
  </si>
  <si>
    <t>Inspections of Non-Housing Property</t>
  </si>
  <si>
    <t>2008/09</t>
  </si>
  <si>
    <t>Revenue Contributions to Capital Outlay</t>
  </si>
  <si>
    <t>Chalkhill Redevelopment</t>
  </si>
  <si>
    <t>Provision for Liabilities</t>
  </si>
  <si>
    <t>Grange Road Acquisition</t>
  </si>
  <si>
    <t>Surestart</t>
  </si>
  <si>
    <t>Elm Road Car Park Lease</t>
  </si>
  <si>
    <t>Property Leases (Slippage)</t>
  </si>
  <si>
    <t>FORECAST CAPITAL  PROGRAMME  2004/05 &amp; FUTURE YEARS</t>
  </si>
  <si>
    <t>General Fund - Environment Capital Programme</t>
  </si>
  <si>
    <t>Pavements and Roads</t>
  </si>
  <si>
    <t>Bridge Park Toilets</t>
  </si>
  <si>
    <t>Parks &amp; Cemeteries</t>
  </si>
  <si>
    <t>Willesden Sports Centre Council Funded</t>
  </si>
  <si>
    <t xml:space="preserve">Willesden Sports Centre S106 Funded </t>
  </si>
  <si>
    <t>CCTV at Kensal Rise</t>
  </si>
  <si>
    <t>Completion of Neasden Town Centre Renewal</t>
  </si>
  <si>
    <t>Road Safety - PSA Bid</t>
  </si>
  <si>
    <t>Lighting Outside PFI</t>
  </si>
  <si>
    <t>Streetscene (Transport &amp; Parking BVR)</t>
  </si>
  <si>
    <t>Fitting Out of Civic Amenity Site</t>
  </si>
  <si>
    <t>Control Centre for Warden Services - Set Up Costs</t>
  </si>
  <si>
    <t>Improvement in Gulley Services - to include replacements</t>
  </si>
  <si>
    <t>Signage to Sports Centres</t>
  </si>
  <si>
    <t>Air Quality Management (Additional Revenue Support)</t>
  </si>
  <si>
    <t xml:space="preserve">Organic Waste Collection Service </t>
  </si>
  <si>
    <t>Litter Bins</t>
  </si>
  <si>
    <t>Purchase of 1 Refuse Collection Vehicle</t>
  </si>
  <si>
    <t>Gulley Maintenance Vehicles</t>
  </si>
  <si>
    <t>Cycle and Changing Facilities at Offices</t>
  </si>
  <si>
    <t>Total Environment Forecast Capital Programme</t>
  </si>
  <si>
    <t xml:space="preserve">Footways </t>
  </si>
  <si>
    <t>General Fund - Social Services Capital Programme</t>
  </si>
  <si>
    <t>Dilapidations</t>
  </si>
  <si>
    <t>Health &amp; Safety</t>
  </si>
  <si>
    <t>Minor Works</t>
  </si>
  <si>
    <t>Office Moves</t>
  </si>
  <si>
    <t>New Millenium Day Centre</t>
  </si>
  <si>
    <t>Learning Disabilities Kiosk Project</t>
  </si>
  <si>
    <t>Alric Road Day Centre</t>
  </si>
  <si>
    <t>Albert Road</t>
  </si>
  <si>
    <t>Stonebridge Day Centre</t>
  </si>
  <si>
    <t>IT Systems (Staff Resources)</t>
  </si>
  <si>
    <t>Other Capitalised Expenditure</t>
  </si>
  <si>
    <t>Melrose House</t>
  </si>
  <si>
    <t>Clement Close Respite Childrens Home</t>
  </si>
  <si>
    <t>Kensal Rise Senior Club</t>
  </si>
  <si>
    <t>Total Social Services Forecast Capital Programme</t>
  </si>
  <si>
    <t>Comprehensive Social Care Mental Health Services</t>
  </si>
  <si>
    <t>Kingsbury Manor Heating</t>
  </si>
  <si>
    <t>127 High Road</t>
  </si>
  <si>
    <t>4 Cranhurst Road</t>
  </si>
  <si>
    <t>170a Walm Lane</t>
  </si>
  <si>
    <t>Park House Mental Health Resource Centre</t>
  </si>
  <si>
    <t xml:space="preserve">General Fund - Corporate Services Capital Programme </t>
  </si>
  <si>
    <t>Disability Discrimination Act Works</t>
  </si>
  <si>
    <t xml:space="preserve">Customer Relationship Management System </t>
  </si>
  <si>
    <t>E- Government Council Wide Upgrade</t>
  </si>
  <si>
    <t>Brent Town Hall Boiler Refurbishment</t>
  </si>
  <si>
    <t>Town Hall (Grand Hall) Stage Lighting</t>
  </si>
  <si>
    <t>Town Hall (Grand Hall) Ceiling Redecoration</t>
  </si>
  <si>
    <t>Brent House One Stop Shops Refurbishment</t>
  </si>
  <si>
    <t>Harlesden OSS - Ground Floor Extention to Building</t>
  </si>
  <si>
    <t>Brent Town Hall Cashiers Remodel</t>
  </si>
  <si>
    <t>Total Corporate Services Forecast Capital Programme</t>
  </si>
  <si>
    <t>Project Management - to provide additional resources to Service Areas</t>
  </si>
  <si>
    <t>Queue Management System at One Stop Shops &amp; Call Centres</t>
  </si>
  <si>
    <t xml:space="preserve">Asbestos Surveys </t>
  </si>
  <si>
    <t>Electronic Document Management</t>
  </si>
  <si>
    <t>Quality House Window Replacement</t>
  </si>
  <si>
    <t>Security Measures in Town Hall &amp; 3 Muniport Sites</t>
  </si>
  <si>
    <t>Cabling to Disaster Site at Gwyneth Rickus Building</t>
  </si>
  <si>
    <t>Financial Systems Integration</t>
  </si>
  <si>
    <t>E-mail and Data Storage System</t>
  </si>
  <si>
    <t xml:space="preserve">General Fund - Housing Services Capital Programme </t>
  </si>
  <si>
    <t>Total Housing Services Forecast Capital Programme</t>
  </si>
  <si>
    <t xml:space="preserve">General Fund - Education and Libraries Capital Programme </t>
  </si>
  <si>
    <t>Total Education and Libraries Forecast Capital Programme</t>
  </si>
  <si>
    <t xml:space="preserve">Housing Revenue Account - Housing Services Capital Programme </t>
  </si>
  <si>
    <t>ALMO Works and Initiatives</t>
  </si>
  <si>
    <t>Contingency for 2005/06 Schemes</t>
  </si>
  <si>
    <t xml:space="preserve">AMP's and Asbestos Survey Fees </t>
  </si>
  <si>
    <t>Wembley Manor Re-build and Expansion</t>
  </si>
  <si>
    <t>John Kelly Building Improvements</t>
  </si>
  <si>
    <t>SEN Schemes</t>
  </si>
  <si>
    <t>School Loan Scheme</t>
  </si>
  <si>
    <t>Access Initiatives</t>
  </si>
  <si>
    <t>Asbestos Works</t>
  </si>
  <si>
    <t>Chalkhill</t>
  </si>
  <si>
    <t>BSF Capacity Building</t>
  </si>
  <si>
    <t>Nov Exec</t>
  </si>
  <si>
    <t>Variance</t>
  </si>
  <si>
    <t>First Reading</t>
  </si>
  <si>
    <t>Report</t>
  </si>
  <si>
    <t>Unsupported Borrowing required to meet Budget Deficit</t>
  </si>
  <si>
    <t>Summary of Position</t>
  </si>
  <si>
    <t xml:space="preserve">The tables below demonstrate the revenue implications of the unsupported borrowing included in the forecast capital programme. </t>
  </si>
  <si>
    <t>General Fund Capital Programme</t>
  </si>
  <si>
    <t>£'000</t>
  </si>
  <si>
    <t>Agreed Unsupported Borrowing £14.259m</t>
  </si>
  <si>
    <t>Of which Self Funded £0.417m</t>
  </si>
  <si>
    <t>Agreed Unsupported Borrowing £12.927m</t>
  </si>
  <si>
    <t>Agreed Unsupported Borrowing £13.134m</t>
  </si>
  <si>
    <t>Agreed Unsupported Borrowing £12.300m</t>
  </si>
  <si>
    <t>Agreed Unsupported Borrowing £0m</t>
  </si>
  <si>
    <t>Cumulative Total</t>
  </si>
  <si>
    <t>Housing Revenue Account Capital Programme</t>
  </si>
  <si>
    <t>The charges to revenue accounts represent the estimated interest payable on the borrowing required to</t>
  </si>
  <si>
    <t>balance the capital programme, ie those capital expenditure items not supported by central government</t>
  </si>
  <si>
    <t>funding, grants from external bodies and income derived from capital receipts.</t>
  </si>
  <si>
    <t>The financing charges that have been applied to unsupported capital borrowing are as follows:-</t>
  </si>
  <si>
    <t>Year 1    3.4%</t>
  </si>
  <si>
    <t>Year 2   10.6%</t>
  </si>
  <si>
    <t>Year 3   10.5%</t>
  </si>
  <si>
    <t xml:space="preserve">These rates have amended the guidance laid down in the 2004/2005 Budget Preparation Paper. The </t>
  </si>
  <si>
    <t xml:space="preserve">principle element of the charge is based on the Minimum Revenue Provision requirement laid down in  </t>
  </si>
  <si>
    <t xml:space="preserve">accounting practices, which is currently set at 4%, with the balance relating to the interest charge which is </t>
  </si>
  <si>
    <t xml:space="preserve">based on the Consolidated Loan Pool Rate, this takes into account the interest rates on all principle sums </t>
  </si>
  <si>
    <t xml:space="preserve">owing by the Council. The rate of 3.4% in Year 1 is based on a half year charge for interest and no </t>
  </si>
  <si>
    <t>repayment of principle.</t>
  </si>
  <si>
    <t>Surplus carried forward</t>
  </si>
  <si>
    <t>Deficit (to be funded)</t>
  </si>
  <si>
    <t xml:space="preserve">Stables Art Gallery </t>
  </si>
  <si>
    <t>Capital Receipts in Year - Right to Buy Properties</t>
  </si>
  <si>
    <t xml:space="preserve">                                      Former LRB/Ex-GLC Properties</t>
  </si>
  <si>
    <t xml:space="preserve">                                      Corporate Property Disposals</t>
  </si>
  <si>
    <t>Bridgepark Works</t>
  </si>
  <si>
    <t>Individual Schemes</t>
  </si>
  <si>
    <t>Programme Works</t>
  </si>
  <si>
    <t>Total 2004/05 and Future Years Capital Programme</t>
  </si>
  <si>
    <t xml:space="preserve">Family Resource &amp; Children's Centres </t>
  </si>
  <si>
    <t>Neasden Pedestrianisation</t>
  </si>
  <si>
    <t>River Brent Walkway</t>
  </si>
  <si>
    <t>Major Carriageway Resurfacing</t>
  </si>
  <si>
    <t xml:space="preserve">Credit Card Hotline Automation - Software package and set up costs </t>
  </si>
  <si>
    <t>PCT Strathcona</t>
  </si>
  <si>
    <t>PCT Barnham</t>
  </si>
  <si>
    <t>Capital Programme</t>
  </si>
  <si>
    <t>Libraries</t>
  </si>
  <si>
    <t>Family Resource &amp; Children's Centres - Barnhill</t>
  </si>
  <si>
    <t>Non- School Schemes</t>
  </si>
  <si>
    <t>Libraries - Health &amp; Safety works</t>
  </si>
  <si>
    <t>Transforming Youth Work</t>
  </si>
  <si>
    <t>Renovation of Scrapbank Premises for BETS</t>
  </si>
  <si>
    <t>Youth Service</t>
  </si>
  <si>
    <t>Total Non School Schemes</t>
  </si>
  <si>
    <t>School Programme Works</t>
  </si>
  <si>
    <t>Individual School Schemes</t>
  </si>
  <si>
    <t>Willesden Green</t>
  </si>
  <si>
    <t>Total School Schemes</t>
  </si>
  <si>
    <t xml:space="preserve">Hut Replacement Programme: </t>
  </si>
  <si>
    <t>Preston Park</t>
  </si>
  <si>
    <t>Uxendon Manor</t>
  </si>
  <si>
    <t>Wembley Manor Inf/Jnr</t>
  </si>
  <si>
    <t>Hay Lane</t>
  </si>
  <si>
    <t>Electrical</t>
  </si>
  <si>
    <t>Mechanical</t>
  </si>
  <si>
    <t>Roofing</t>
  </si>
  <si>
    <t>Playgrounds</t>
  </si>
  <si>
    <t>Toilets</t>
  </si>
  <si>
    <t>Seed Challenge</t>
  </si>
  <si>
    <t>Sporting Playgrounds</t>
  </si>
  <si>
    <t>Staff Workplaces</t>
  </si>
  <si>
    <t>Surveys</t>
  </si>
  <si>
    <t>Security</t>
  </si>
  <si>
    <t>Windows</t>
  </si>
  <si>
    <t>Gordon Brown Centre</t>
  </si>
  <si>
    <t>Expansion of Secondary School Places</t>
  </si>
  <si>
    <t>Devolved Formula Capital</t>
  </si>
  <si>
    <t>Stadium Access Corridor</t>
  </si>
  <si>
    <t>Supporting People Initiative</t>
  </si>
  <si>
    <t>Stadium Access Corridor Funding (SRB/LDA/S106)</t>
  </si>
  <si>
    <t xml:space="preserve">Sixth Form Provision </t>
  </si>
  <si>
    <t>Suitability</t>
  </si>
  <si>
    <t>Kitchen Equipment</t>
  </si>
  <si>
    <t>Fees</t>
  </si>
  <si>
    <t>Development schemes</t>
  </si>
  <si>
    <t>Additional Asset Management Plan Priorities 1 &amp; 2 - 2005/06 and Future Years</t>
  </si>
  <si>
    <t>Barham - Sports Hall</t>
  </si>
  <si>
    <t>Chalkhill - Improvements</t>
  </si>
  <si>
    <t>Donnington - Remodelling</t>
  </si>
  <si>
    <t>Evan Davies - Nursery Provision</t>
  </si>
  <si>
    <t>Gladstone Park - Sports Hall</t>
  </si>
  <si>
    <t>Gladstone Park - Copland GPSCA</t>
  </si>
  <si>
    <t>Kingsbury Green - Extension</t>
  </si>
  <si>
    <t>Lyon Park - Phase 1 &amp; 2 Expansion</t>
  </si>
  <si>
    <t>Mitchell Brook - Redevelopment</t>
  </si>
  <si>
    <t>Newfield - Alterations/Improvements</t>
  </si>
  <si>
    <t>Wykeham - Remodelling</t>
  </si>
  <si>
    <t>Preston Manor</t>
  </si>
  <si>
    <t>Wembley High - Extension &amp; Adaptations</t>
  </si>
  <si>
    <t>Pupil Referral Unit - Stag Lane</t>
  </si>
  <si>
    <t>2004/05 and Future Years Capital Programme (including slippage carried forward)</t>
  </si>
  <si>
    <t xml:space="preserve">2004/2005 Devolved Capital (including slippage carried forward) </t>
  </si>
  <si>
    <t xml:space="preserve"> </t>
  </si>
  <si>
    <t>Forecast</t>
  </si>
  <si>
    <t>Outturn</t>
  </si>
  <si>
    <t>Capital</t>
  </si>
  <si>
    <t>Programme</t>
  </si>
  <si>
    <t>Retentions</t>
  </si>
  <si>
    <t>New Opportunities Fund Works (inc' Chalkhill Sports Hall)</t>
  </si>
  <si>
    <t>Lyon Park Junior</t>
  </si>
  <si>
    <t>Park Lane</t>
  </si>
  <si>
    <t>Asset Management Plan:</t>
  </si>
  <si>
    <t>Hut Replacement Works to be undertaken from Prioritised List</t>
  </si>
  <si>
    <t>Grange Museum Relocation</t>
  </si>
  <si>
    <t>Mechanised Street Sweeping Vehicles</t>
  </si>
  <si>
    <t>Highways:</t>
  </si>
  <si>
    <t>Dollis Hill Older People Day Centre - Replacement Facility</t>
  </si>
  <si>
    <t>South Kilburn Development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</si>
</sst>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 quotePrefix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64" fontId="5" fillId="0" borderId="6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164" fontId="5" fillId="0" borderId="1" xfId="0" applyNumberFormat="1" applyFont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right"/>
    </xf>
    <xf numFmtId="164" fontId="5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/>
    </xf>
    <xf numFmtId="164" fontId="5" fillId="0" borderId="6" xfId="0" applyNumberFormat="1" applyFont="1" applyBorder="1" applyAlignment="1">
      <alignment horizontal="right"/>
    </xf>
    <xf numFmtId="164" fontId="5" fillId="0" borderId="8" xfId="0" applyNumberFormat="1" applyFont="1" applyFill="1" applyBorder="1" applyAlignment="1">
      <alignment/>
    </xf>
    <xf numFmtId="164" fontId="5" fillId="0" borderId="6" xfId="0" applyNumberFormat="1" applyFont="1" applyFill="1" applyBorder="1" applyAlignment="1" quotePrefix="1">
      <alignment horizontal="righ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top"/>
    </xf>
    <xf numFmtId="164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8" xfId="0" applyNumberFormat="1" applyFont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 quotePrefix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 quotePrefix="1">
      <alignment horizontal="center"/>
    </xf>
    <xf numFmtId="164" fontId="5" fillId="0" borderId="11" xfId="0" applyNumberFormat="1" applyFont="1" applyFill="1" applyBorder="1" applyAlignment="1" quotePrefix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Fill="1" applyBorder="1" applyAlignment="1" quotePrefix="1">
      <alignment horizontal="center"/>
    </xf>
    <xf numFmtId="164" fontId="5" fillId="0" borderId="12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left"/>
    </xf>
    <xf numFmtId="164" fontId="0" fillId="0" borderId="12" xfId="0" applyNumberFormat="1" applyFont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/>
    </xf>
    <xf numFmtId="164" fontId="5" fillId="0" borderId="18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3" xfId="0" applyNumberFormat="1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 quotePrefix="1">
      <alignment horizontal="center"/>
    </xf>
    <xf numFmtId="164" fontId="5" fillId="0" borderId="17" xfId="0" applyNumberFormat="1" applyFont="1" applyFill="1" applyBorder="1" applyAlignment="1" quotePrefix="1">
      <alignment horizontal="right"/>
    </xf>
    <xf numFmtId="164" fontId="0" fillId="0" borderId="12" xfId="0" applyNumberFormat="1" applyFont="1" applyBorder="1" applyAlignment="1">
      <alignment/>
    </xf>
    <xf numFmtId="164" fontId="5" fillId="0" borderId="2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2" xfId="0" applyBorder="1" applyAlignment="1">
      <alignment/>
    </xf>
    <xf numFmtId="0" fontId="5" fillId="0" borderId="12" xfId="0" applyFont="1" applyBorder="1" applyAlignment="1">
      <alignment/>
    </xf>
    <xf numFmtId="164" fontId="5" fillId="2" borderId="25" xfId="0" applyNumberFormat="1" applyFont="1" applyFill="1" applyBorder="1" applyAlignment="1">
      <alignment horizontal="left"/>
    </xf>
    <xf numFmtId="164" fontId="5" fillId="2" borderId="21" xfId="0" applyNumberFormat="1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5" fillId="0" borderId="5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/>
    </xf>
    <xf numFmtId="164" fontId="5" fillId="0" borderId="29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27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" fillId="2" borderId="2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/>
    </xf>
    <xf numFmtId="1" fontId="0" fillId="0" borderId="2" xfId="0" applyNumberFormat="1" applyFont="1" applyBorder="1" applyAlignment="1">
      <alignment horizontal="right"/>
    </xf>
    <xf numFmtId="164" fontId="3" fillId="2" borderId="25" xfId="0" applyNumberFormat="1" applyFont="1" applyFill="1" applyBorder="1" applyAlignment="1">
      <alignment/>
    </xf>
    <xf numFmtId="164" fontId="3" fillId="2" borderId="24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3" fillId="2" borderId="3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5" fillId="0" borderId="9" xfId="0" applyNumberFormat="1" applyFont="1" applyFill="1" applyBorder="1" applyAlignment="1" quotePrefix="1">
      <alignment horizontal="center"/>
    </xf>
    <xf numFmtId="164" fontId="5" fillId="0" borderId="33" xfId="0" applyNumberFormat="1" applyFont="1" applyFill="1" applyBorder="1" applyAlignment="1" quotePrefix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 quotePrefix="1">
      <alignment horizontal="center"/>
    </xf>
    <xf numFmtId="164" fontId="5" fillId="0" borderId="34" xfId="0" applyNumberFormat="1" applyFont="1" applyFill="1" applyBorder="1" applyAlignment="1" quotePrefix="1">
      <alignment horizontal="center"/>
    </xf>
    <xf numFmtId="164" fontId="5" fillId="0" borderId="13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 quotePrefix="1">
      <alignment horizontal="right"/>
    </xf>
    <xf numFmtId="164" fontId="5" fillId="0" borderId="34" xfId="0" applyNumberFormat="1" applyFont="1" applyFill="1" applyBorder="1" applyAlignment="1" quotePrefix="1">
      <alignment horizontal="right"/>
    </xf>
    <xf numFmtId="164" fontId="5" fillId="0" borderId="13" xfId="0" applyNumberFormat="1" applyFont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/>
    </xf>
    <xf numFmtId="164" fontId="5" fillId="0" borderId="35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left"/>
    </xf>
    <xf numFmtId="164" fontId="0" fillId="0" borderId="37" xfId="0" applyNumberFormat="1" applyFont="1" applyBorder="1" applyAlignment="1">
      <alignment horizontal="left"/>
    </xf>
    <xf numFmtId="164" fontId="0" fillId="0" borderId="37" xfId="0" applyNumberFormat="1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left"/>
    </xf>
    <xf numFmtId="164" fontId="5" fillId="0" borderId="38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/>
    </xf>
    <xf numFmtId="164" fontId="0" fillId="0" borderId="37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/>
    </xf>
    <xf numFmtId="164" fontId="5" fillId="0" borderId="39" xfId="0" applyNumberFormat="1" applyFont="1" applyFill="1" applyBorder="1" applyAlignment="1">
      <alignment horizontal="right"/>
    </xf>
    <xf numFmtId="164" fontId="5" fillId="0" borderId="40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5" fillId="0" borderId="40" xfId="0" applyNumberFormat="1" applyFont="1" applyBorder="1" applyAlignment="1">
      <alignment horizontal="right"/>
    </xf>
    <xf numFmtId="164" fontId="5" fillId="3" borderId="41" xfId="0" applyNumberFormat="1" applyFont="1" applyFill="1" applyBorder="1" applyAlignment="1" quotePrefix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42" xfId="0" applyNumberFormat="1" applyFont="1" applyFill="1" applyBorder="1" applyAlignment="1" quotePrefix="1">
      <alignment horizontal="center"/>
    </xf>
    <xf numFmtId="164" fontId="5" fillId="3" borderId="0" xfId="0" applyNumberFormat="1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right"/>
    </xf>
    <xf numFmtId="164" fontId="5" fillId="3" borderId="42" xfId="0" applyNumberFormat="1" applyFont="1" applyFill="1" applyBorder="1" applyAlignment="1" quotePrefix="1">
      <alignment horizontal="right"/>
    </xf>
    <xf numFmtId="164" fontId="5" fillId="3" borderId="0" xfId="0" applyNumberFormat="1" applyFont="1" applyFill="1" applyBorder="1" applyAlignment="1">
      <alignment/>
    </xf>
    <xf numFmtId="164" fontId="5" fillId="3" borderId="43" xfId="0" applyNumberFormat="1" applyFont="1" applyFill="1" applyBorder="1" applyAlignment="1">
      <alignment horizontal="right"/>
    </xf>
    <xf numFmtId="164" fontId="5" fillId="3" borderId="44" xfId="0" applyNumberFormat="1" applyFont="1" applyFill="1" applyBorder="1" applyAlignment="1">
      <alignment/>
    </xf>
    <xf numFmtId="164" fontId="5" fillId="3" borderId="44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left"/>
    </xf>
    <xf numFmtId="164" fontId="5" fillId="0" borderId="36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164" fontId="0" fillId="0" borderId="33" xfId="0" applyNumberFormat="1" applyFont="1" applyBorder="1" applyAlignment="1">
      <alignment horizontal="right"/>
    </xf>
    <xf numFmtId="164" fontId="0" fillId="3" borderId="41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5" fillId="0" borderId="45" xfId="0" applyNumberFormat="1" applyFont="1" applyFill="1" applyBorder="1" applyAlignment="1">
      <alignment horizontal="left"/>
    </xf>
    <xf numFmtId="164" fontId="0" fillId="0" borderId="25" xfId="0" applyNumberFormat="1" applyFont="1" applyFill="1" applyBorder="1" applyAlignment="1">
      <alignment horizontal="right"/>
    </xf>
    <xf numFmtId="164" fontId="0" fillId="0" borderId="32" xfId="0" applyNumberFormat="1" applyFont="1" applyFill="1" applyBorder="1" applyAlignment="1">
      <alignment horizontal="right"/>
    </xf>
    <xf numFmtId="164" fontId="0" fillId="0" borderId="46" xfId="0" applyNumberFormat="1" applyFont="1" applyBorder="1" applyAlignment="1">
      <alignment horizontal="right"/>
    </xf>
    <xf numFmtId="164" fontId="0" fillId="3" borderId="47" xfId="0" applyNumberFormat="1" applyFont="1" applyFill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3" borderId="42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164" fontId="4" fillId="0" borderId="49" xfId="0" applyNumberFormat="1" applyFont="1" applyBorder="1" applyAlignment="1">
      <alignment/>
    </xf>
    <xf numFmtId="164" fontId="5" fillId="0" borderId="50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3" borderId="51" xfId="0" applyNumberFormat="1" applyFont="1" applyFill="1" applyBorder="1" applyAlignment="1">
      <alignment horizontal="right"/>
    </xf>
    <xf numFmtId="164" fontId="5" fillId="3" borderId="43" xfId="0" applyNumberFormat="1" applyFont="1" applyFill="1" applyBorder="1" applyAlignment="1" quotePrefix="1">
      <alignment horizontal="right"/>
    </xf>
    <xf numFmtId="164" fontId="0" fillId="3" borderId="0" xfId="0" applyNumberFormat="1" applyFont="1" applyFill="1" applyBorder="1" applyAlignment="1">
      <alignment/>
    </xf>
    <xf numFmtId="164" fontId="5" fillId="0" borderId="18" xfId="0" applyNumberFormat="1" applyFont="1" applyFill="1" applyBorder="1" applyAlignment="1" quotePrefix="1">
      <alignment horizontal="right"/>
    </xf>
    <xf numFmtId="164" fontId="4" fillId="0" borderId="34" xfId="0" applyNumberFormat="1" applyFont="1" applyBorder="1" applyAlignment="1">
      <alignment/>
    </xf>
    <xf numFmtId="164" fontId="3" fillId="2" borderId="32" xfId="0" applyNumberFormat="1" applyFont="1" applyFill="1" applyBorder="1" applyAlignment="1">
      <alignment horizontal="right"/>
    </xf>
    <xf numFmtId="164" fontId="0" fillId="0" borderId="5" xfId="0" applyNumberFormat="1" applyFont="1" applyBorder="1" applyAlignment="1">
      <alignment/>
    </xf>
    <xf numFmtId="164" fontId="5" fillId="0" borderId="4" xfId="0" applyNumberFormat="1" applyFont="1" applyFill="1" applyBorder="1" applyAlignment="1" quotePrefix="1">
      <alignment horizontal="right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5" fillId="0" borderId="15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52" xfId="0" applyBorder="1" applyAlignment="1">
      <alignment/>
    </xf>
    <xf numFmtId="6" fontId="5" fillId="0" borderId="32" xfId="0" applyNumberFormat="1" applyFont="1" applyBorder="1" applyAlignment="1">
      <alignment horizontal="center"/>
    </xf>
    <xf numFmtId="6" fontId="5" fillId="0" borderId="24" xfId="0" applyNumberFormat="1" applyFont="1" applyBorder="1" applyAlignment="1">
      <alignment horizontal="center"/>
    </xf>
    <xf numFmtId="0" fontId="10" fillId="0" borderId="27" xfId="0" applyFont="1" applyBorder="1" applyAlignment="1">
      <alignment/>
    </xf>
    <xf numFmtId="0" fontId="0" fillId="0" borderId="27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5" xfId="0" applyBorder="1" applyAlignment="1">
      <alignment/>
    </xf>
    <xf numFmtId="164" fontId="0" fillId="0" borderId="32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5" fillId="0" borderId="52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4" fillId="0" borderId="0" xfId="0" applyFont="1" applyAlignment="1">
      <alignment/>
    </xf>
    <xf numFmtId="164" fontId="0" fillId="0" borderId="7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64" fontId="5" fillId="0" borderId="1" xfId="0" applyNumberFormat="1" applyFont="1" applyFill="1" applyBorder="1" applyAlignment="1" quotePrefix="1">
      <alignment horizontal="center"/>
    </xf>
    <xf numFmtId="164" fontId="0" fillId="0" borderId="1" xfId="0" applyNumberFormat="1" applyFont="1" applyFill="1" applyBorder="1" applyAlignment="1" quotePrefix="1">
      <alignment horizontal="right"/>
    </xf>
    <xf numFmtId="164" fontId="0" fillId="0" borderId="2" xfId="0" applyNumberFormat="1" applyFont="1" applyFill="1" applyBorder="1" applyAlignment="1" quotePrefix="1">
      <alignment horizontal="right"/>
    </xf>
    <xf numFmtId="164" fontId="0" fillId="0" borderId="5" xfId="0" applyNumberFormat="1" applyFont="1" applyFill="1" applyBorder="1" applyAlignment="1" quotePrefix="1">
      <alignment horizontal="right"/>
    </xf>
    <xf numFmtId="164" fontId="5" fillId="2" borderId="22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left"/>
    </xf>
    <xf numFmtId="164" fontId="5" fillId="0" borderId="53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46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164" fontId="5" fillId="0" borderId="8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3" fillId="2" borderId="46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wrapText="1"/>
    </xf>
    <xf numFmtId="164" fontId="5" fillId="2" borderId="54" xfId="0" applyNumberFormat="1" applyFont="1" applyFill="1" applyBorder="1" applyAlignment="1">
      <alignment horizontal="right"/>
    </xf>
    <xf numFmtId="164" fontId="3" fillId="2" borderId="46" xfId="0" applyNumberFormat="1" applyFont="1" applyFill="1" applyBorder="1" applyAlignment="1">
      <alignment horizontal="right"/>
    </xf>
    <xf numFmtId="164" fontId="3" fillId="2" borderId="22" xfId="0" applyNumberFormat="1" applyFont="1" applyFill="1" applyBorder="1" applyAlignment="1">
      <alignment horizontal="right"/>
    </xf>
    <xf numFmtId="164" fontId="11" fillId="0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164" fontId="0" fillId="0" borderId="27" xfId="0" applyNumberFormat="1" applyFont="1" applyFill="1" applyBorder="1" applyAlignment="1">
      <alignment horizontal="left" indent="1"/>
    </xf>
    <xf numFmtId="0" fontId="11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164" fontId="0" fillId="0" borderId="3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164" fontId="0" fillId="0" borderId="30" xfId="0" applyNumberFormat="1" applyFont="1" applyBorder="1" applyAlignment="1">
      <alignment horizontal="left"/>
    </xf>
    <xf numFmtId="164" fontId="0" fillId="0" borderId="7" xfId="0" applyNumberFormat="1" applyFont="1" applyFill="1" applyBorder="1" applyAlignment="1" quotePrefix="1">
      <alignment horizontal="right"/>
    </xf>
    <xf numFmtId="164" fontId="0" fillId="0" borderId="3" xfId="0" applyNumberFormat="1" applyFont="1" applyFill="1" applyBorder="1" applyAlignment="1" quotePrefix="1">
      <alignment horizontal="right"/>
    </xf>
    <xf numFmtId="164" fontId="0" fillId="0" borderId="15" xfId="0" applyNumberFormat="1" applyFont="1" applyFill="1" applyBorder="1" applyAlignment="1" quotePrefix="1">
      <alignment horizontal="right"/>
    </xf>
    <xf numFmtId="164" fontId="0" fillId="0" borderId="27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2">
      <selection activeCell="I43" sqref="I43"/>
    </sheetView>
  </sheetViews>
  <sheetFormatPr defaultColWidth="9.140625" defaultRowHeight="12.75"/>
  <cols>
    <col min="2" max="2" width="57.7109375" style="0" customWidth="1"/>
  </cols>
  <sheetData>
    <row r="3" spans="1:6" ht="29.25" customHeight="1">
      <c r="A3" s="33"/>
      <c r="B3" s="300" t="s">
        <v>159</v>
      </c>
      <c r="C3" s="300"/>
      <c r="D3" s="300"/>
      <c r="E3" s="300"/>
      <c r="F3" s="300"/>
    </row>
    <row r="4" ht="13.5" thickBot="1"/>
    <row r="5" spans="2:6" ht="12.75">
      <c r="B5" s="229" t="s">
        <v>160</v>
      </c>
      <c r="C5" s="230" t="s">
        <v>1</v>
      </c>
      <c r="D5" s="230" t="s">
        <v>2</v>
      </c>
      <c r="E5" s="230" t="s">
        <v>37</v>
      </c>
      <c r="F5" s="231" t="s">
        <v>63</v>
      </c>
    </row>
    <row r="6" spans="2:6" ht="13.5" thickBot="1">
      <c r="B6" s="232"/>
      <c r="C6" s="233" t="s">
        <v>161</v>
      </c>
      <c r="D6" s="233" t="s">
        <v>161</v>
      </c>
      <c r="E6" s="233" t="s">
        <v>161</v>
      </c>
      <c r="F6" s="234" t="s">
        <v>161</v>
      </c>
    </row>
    <row r="7" spans="2:6" ht="12.75">
      <c r="B7" s="235" t="s">
        <v>0</v>
      </c>
      <c r="C7" s="15"/>
      <c r="D7" s="15"/>
      <c r="E7" s="15"/>
      <c r="F7" s="14"/>
    </row>
    <row r="8" spans="2:6" ht="12.75">
      <c r="B8" s="236" t="s">
        <v>162</v>
      </c>
      <c r="C8" s="237">
        <f>14259*10.6%</f>
        <v>1511.454</v>
      </c>
      <c r="D8" s="237">
        <f>14259*10.5%</f>
        <v>1497.195</v>
      </c>
      <c r="E8" s="237">
        <f>14259*10.5%</f>
        <v>1497.195</v>
      </c>
      <c r="F8" s="238">
        <f>14259*10.5%</f>
        <v>1497.195</v>
      </c>
    </row>
    <row r="9" spans="2:6" ht="12.75">
      <c r="B9" s="236" t="s">
        <v>163</v>
      </c>
      <c r="C9" s="237">
        <f>-417*10.6%</f>
        <v>-44.202</v>
      </c>
      <c r="D9" s="237">
        <f>-417*10.5%</f>
        <v>-43.785</v>
      </c>
      <c r="E9" s="237">
        <f>-417*10.5%</f>
        <v>-43.785</v>
      </c>
      <c r="F9" s="238">
        <f>-417*10.5%</f>
        <v>-43.785</v>
      </c>
    </row>
    <row r="10" spans="2:6" ht="12.75">
      <c r="B10" s="235" t="s">
        <v>1</v>
      </c>
      <c r="C10" s="15"/>
      <c r="D10" s="15"/>
      <c r="E10" s="15"/>
      <c r="F10" s="14"/>
    </row>
    <row r="11" spans="2:6" ht="12.75">
      <c r="B11" s="236" t="s">
        <v>164</v>
      </c>
      <c r="C11" s="237">
        <f>12927*3.4%</f>
        <v>439.51800000000003</v>
      </c>
      <c r="D11" s="237">
        <f>12927*10.6%</f>
        <v>1370.262</v>
      </c>
      <c r="E11" s="237">
        <f>12927*10.5%</f>
        <v>1357.335</v>
      </c>
      <c r="F11" s="238">
        <f>12927*10.5%</f>
        <v>1357.335</v>
      </c>
    </row>
    <row r="12" spans="2:6" ht="12.75">
      <c r="B12" s="235" t="s">
        <v>2</v>
      </c>
      <c r="C12" s="237"/>
      <c r="D12" s="237"/>
      <c r="E12" s="237"/>
      <c r="F12" s="238"/>
    </row>
    <row r="13" spans="2:6" ht="12.75">
      <c r="B13" s="236" t="s">
        <v>165</v>
      </c>
      <c r="C13" s="237">
        <v>0</v>
      </c>
      <c r="D13" s="237">
        <f>13134*3.4%</f>
        <v>446.55600000000004</v>
      </c>
      <c r="E13" s="237">
        <f>13134*10.6%</f>
        <v>1392.204</v>
      </c>
      <c r="F13" s="238">
        <f>13134*10.5%</f>
        <v>1379.07</v>
      </c>
    </row>
    <row r="14" spans="2:6" ht="12.75">
      <c r="B14" s="235" t="s">
        <v>37</v>
      </c>
      <c r="C14" s="237"/>
      <c r="D14" s="237"/>
      <c r="E14" s="237"/>
      <c r="F14" s="238"/>
    </row>
    <row r="15" spans="2:6" ht="12.75">
      <c r="B15" s="236" t="s">
        <v>166</v>
      </c>
      <c r="C15" s="237">
        <v>0</v>
      </c>
      <c r="D15" s="237">
        <v>0</v>
      </c>
      <c r="E15" s="237">
        <f>12300*3.4%</f>
        <v>418.20000000000005</v>
      </c>
      <c r="F15" s="238">
        <f>12300*10.6%</f>
        <v>1303.8</v>
      </c>
    </row>
    <row r="16" spans="2:6" ht="12.75">
      <c r="B16" s="235" t="s">
        <v>63</v>
      </c>
      <c r="C16" s="237"/>
      <c r="D16" s="237"/>
      <c r="E16" s="237"/>
      <c r="F16" s="238"/>
    </row>
    <row r="17" spans="2:6" ht="12.75">
      <c r="B17" s="236" t="s">
        <v>167</v>
      </c>
      <c r="C17" s="237">
        <v>0</v>
      </c>
      <c r="D17" s="237">
        <v>0</v>
      </c>
      <c r="E17" s="237">
        <v>0</v>
      </c>
      <c r="F17" s="238">
        <v>0</v>
      </c>
    </row>
    <row r="18" spans="2:6" ht="13.5" thickBot="1">
      <c r="B18" s="239"/>
      <c r="C18" s="240"/>
      <c r="D18" s="240"/>
      <c r="E18" s="240"/>
      <c r="F18" s="241"/>
    </row>
    <row r="19" spans="2:6" ht="13.5" thickBot="1">
      <c r="B19" s="242" t="s">
        <v>168</v>
      </c>
      <c r="C19" s="243">
        <f>SUM(C8:C15)</f>
        <v>1906.77</v>
      </c>
      <c r="D19" s="243">
        <f>SUM(D8:D15)</f>
        <v>3270.2279999999996</v>
      </c>
      <c r="E19" s="243">
        <f>SUM(E8:E15)</f>
        <v>4621.148999999999</v>
      </c>
      <c r="F19" s="244">
        <f>SUM(F8:F15)</f>
        <v>5493.615</v>
      </c>
    </row>
    <row r="21" ht="13.5" thickBot="1"/>
    <row r="22" spans="2:6" ht="12.75">
      <c r="B22" s="229" t="s">
        <v>169</v>
      </c>
      <c r="C22" s="230" t="s">
        <v>1</v>
      </c>
      <c r="D22" s="230" t="s">
        <v>2</v>
      </c>
      <c r="E22" s="230" t="s">
        <v>37</v>
      </c>
      <c r="F22" s="231" t="s">
        <v>63</v>
      </c>
    </row>
    <row r="23" spans="2:6" ht="13.5" thickBot="1">
      <c r="B23" s="232"/>
      <c r="C23" s="233" t="s">
        <v>161</v>
      </c>
      <c r="D23" s="233" t="s">
        <v>161</v>
      </c>
      <c r="E23" s="233" t="s">
        <v>161</v>
      </c>
      <c r="F23" s="234" t="s">
        <v>161</v>
      </c>
    </row>
    <row r="24" spans="2:6" ht="12.75">
      <c r="B24" s="235" t="s">
        <v>0</v>
      </c>
      <c r="C24" s="15"/>
      <c r="D24" s="15"/>
      <c r="E24" s="15"/>
      <c r="F24" s="14"/>
    </row>
    <row r="25" spans="2:6" ht="12.75">
      <c r="B25" s="236" t="s">
        <v>167</v>
      </c>
      <c r="C25" s="237">
        <f>0*4.1%</f>
        <v>0</v>
      </c>
      <c r="D25" s="237">
        <f>0*12.1%</f>
        <v>0</v>
      </c>
      <c r="E25" s="237">
        <f>0*11.6%</f>
        <v>0</v>
      </c>
      <c r="F25" s="238">
        <f>0*11.6%</f>
        <v>0</v>
      </c>
    </row>
    <row r="26" spans="2:6" ht="12.75">
      <c r="B26" s="235" t="s">
        <v>1</v>
      </c>
      <c r="C26" s="15"/>
      <c r="D26" s="15"/>
      <c r="E26" s="15"/>
      <c r="F26" s="14"/>
    </row>
    <row r="27" spans="2:6" ht="12.75">
      <c r="B27" s="236" t="s">
        <v>167</v>
      </c>
      <c r="C27" s="237">
        <f>0*4.1%</f>
        <v>0</v>
      </c>
      <c r="D27" s="237">
        <f>0*12.1%</f>
        <v>0</v>
      </c>
      <c r="E27" s="237">
        <f>0*11.6%</f>
        <v>0</v>
      </c>
      <c r="F27" s="238">
        <f>0*11.6%</f>
        <v>0</v>
      </c>
    </row>
    <row r="28" spans="2:6" ht="12.75">
      <c r="B28" s="235" t="s">
        <v>2</v>
      </c>
      <c r="C28" s="245"/>
      <c r="D28" s="245"/>
      <c r="E28" s="245"/>
      <c r="F28" s="246"/>
    </row>
    <row r="29" spans="2:6" ht="12.75">
      <c r="B29" s="236" t="s">
        <v>167</v>
      </c>
      <c r="C29" s="237">
        <v>0</v>
      </c>
      <c r="D29" s="237">
        <f>0*4.1%</f>
        <v>0</v>
      </c>
      <c r="E29" s="237">
        <f>0*12.1%</f>
        <v>0</v>
      </c>
      <c r="F29" s="238">
        <f>0*12.1%</f>
        <v>0</v>
      </c>
    </row>
    <row r="30" spans="2:6" ht="12.75">
      <c r="B30" s="235" t="s">
        <v>37</v>
      </c>
      <c r="C30" s="245"/>
      <c r="D30" s="245"/>
      <c r="E30" s="245"/>
      <c r="F30" s="246"/>
    </row>
    <row r="31" spans="2:6" ht="12.75">
      <c r="B31" s="236" t="s">
        <v>167</v>
      </c>
      <c r="C31" s="237">
        <v>0</v>
      </c>
      <c r="D31" s="237">
        <v>0</v>
      </c>
      <c r="E31" s="237">
        <f>0*4.1%</f>
        <v>0</v>
      </c>
      <c r="F31" s="238">
        <f>0*4.1%</f>
        <v>0</v>
      </c>
    </row>
    <row r="32" spans="2:6" ht="12.75">
      <c r="B32" s="235" t="s">
        <v>63</v>
      </c>
      <c r="C32" s="237"/>
      <c r="D32" s="237"/>
      <c r="E32" s="237"/>
      <c r="F32" s="238"/>
    </row>
    <row r="33" spans="2:6" ht="12.75">
      <c r="B33" s="236" t="s">
        <v>167</v>
      </c>
      <c r="C33" s="237">
        <v>0</v>
      </c>
      <c r="D33" s="237">
        <v>0</v>
      </c>
      <c r="E33" s="237">
        <v>0</v>
      </c>
      <c r="F33" s="238">
        <v>0</v>
      </c>
    </row>
    <row r="34" spans="2:6" ht="13.5" thickBot="1">
      <c r="B34" s="232"/>
      <c r="C34" s="247"/>
      <c r="D34" s="247"/>
      <c r="E34" s="247"/>
      <c r="F34" s="248"/>
    </row>
    <row r="35" spans="2:6" ht="13.5" thickBot="1">
      <c r="B35" s="242" t="s">
        <v>168</v>
      </c>
      <c r="C35" s="243">
        <f>SUM(C27:C34)</f>
        <v>0</v>
      </c>
      <c r="D35" s="243">
        <f>SUM(D27:D34)</f>
        <v>0</v>
      </c>
      <c r="E35" s="243">
        <f>SUM(E27:E34)</f>
        <v>0</v>
      </c>
      <c r="F35" s="244">
        <f>SUM(F27:F34)</f>
        <v>0</v>
      </c>
    </row>
    <row r="38" spans="1:2" ht="14.25">
      <c r="A38" s="1"/>
      <c r="B38" s="249" t="s">
        <v>170</v>
      </c>
    </row>
    <row r="39" spans="1:2" ht="14.25">
      <c r="A39" s="1"/>
      <c r="B39" s="249" t="s">
        <v>171</v>
      </c>
    </row>
    <row r="40" spans="1:2" ht="14.25">
      <c r="A40" s="1"/>
      <c r="B40" s="249" t="s">
        <v>172</v>
      </c>
    </row>
    <row r="41" spans="1:2" ht="14.25">
      <c r="A41" s="1"/>
      <c r="B41" s="249"/>
    </row>
    <row r="42" spans="1:2" ht="14.25">
      <c r="A42" s="1"/>
      <c r="B42" s="249" t="s">
        <v>173</v>
      </c>
    </row>
    <row r="43" spans="1:2" ht="14.25">
      <c r="A43" s="1"/>
      <c r="B43" s="249"/>
    </row>
    <row r="44" spans="1:2" ht="14.25">
      <c r="A44" s="1"/>
      <c r="B44" s="249" t="s">
        <v>174</v>
      </c>
    </row>
    <row r="45" spans="1:2" ht="14.25">
      <c r="A45" s="1"/>
      <c r="B45" s="249" t="s">
        <v>175</v>
      </c>
    </row>
    <row r="46" spans="1:2" ht="14.25">
      <c r="A46" s="1"/>
      <c r="B46" s="249" t="s">
        <v>176</v>
      </c>
    </row>
    <row r="47" spans="1:2" ht="14.25">
      <c r="A47" s="1"/>
      <c r="B47" s="249"/>
    </row>
    <row r="48" spans="1:2" ht="14.25">
      <c r="A48" s="1"/>
      <c r="B48" s="249" t="s">
        <v>177</v>
      </c>
    </row>
    <row r="49" spans="1:2" ht="14.25">
      <c r="A49" s="1"/>
      <c r="B49" s="249" t="s">
        <v>178</v>
      </c>
    </row>
    <row r="50" spans="1:2" ht="14.25">
      <c r="A50" s="1"/>
      <c r="B50" s="249" t="s">
        <v>179</v>
      </c>
    </row>
    <row r="51" spans="1:6" ht="14.25">
      <c r="A51" s="1"/>
      <c r="B51" s="1" t="s">
        <v>180</v>
      </c>
      <c r="C51" s="2"/>
      <c r="D51" s="2"/>
      <c r="E51" s="1"/>
      <c r="F51" s="1"/>
    </row>
    <row r="52" spans="1:6" ht="14.25">
      <c r="A52" s="1"/>
      <c r="B52" s="1" t="s">
        <v>181</v>
      </c>
      <c r="C52" s="2"/>
      <c r="D52" s="2"/>
      <c r="E52" s="1"/>
      <c r="F52" s="1"/>
    </row>
    <row r="53" spans="1:6" ht="14.25">
      <c r="A53" s="1"/>
      <c r="B53" s="1" t="s">
        <v>182</v>
      </c>
      <c r="C53" s="2"/>
      <c r="D53" s="2"/>
      <c r="E53" s="1"/>
      <c r="F53" s="1"/>
    </row>
  </sheetData>
  <mergeCells count="1">
    <mergeCell ref="B3:F3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workbookViewId="0" topLeftCell="A55">
      <selection activeCell="A68" sqref="A68:H68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12.7109375" style="1" customWidth="1"/>
    <col min="4" max="5" width="12.28125" style="1" customWidth="1"/>
    <col min="6" max="6" width="1.28515625" style="1" customWidth="1"/>
    <col min="7" max="7" width="12.57421875" style="1" customWidth="1"/>
    <col min="8" max="8" width="12.7109375" style="2" customWidth="1"/>
    <col min="9" max="9" width="12.7109375" style="1" customWidth="1"/>
    <col min="10" max="16384" width="9.140625" style="1" customWidth="1"/>
  </cols>
  <sheetData>
    <row r="1" spans="1:8" ht="18">
      <c r="A1" s="302" t="s">
        <v>41</v>
      </c>
      <c r="B1" s="302"/>
      <c r="C1" s="302"/>
      <c r="D1" s="302"/>
      <c r="E1" s="302"/>
      <c r="F1" s="302"/>
      <c r="G1" s="302"/>
      <c r="H1" s="302"/>
    </row>
    <row r="2" spans="1:8" ht="14.25" customHeight="1">
      <c r="A2" s="17"/>
      <c r="B2" s="18"/>
      <c r="C2" s="18"/>
      <c r="D2" s="18"/>
      <c r="E2" s="18"/>
      <c r="F2" s="18"/>
      <c r="G2" s="18"/>
      <c r="H2" s="18"/>
    </row>
    <row r="3" spans="1:8" ht="18">
      <c r="A3" s="302" t="s">
        <v>33</v>
      </c>
      <c r="B3" s="302"/>
      <c r="C3" s="302"/>
      <c r="D3" s="302"/>
      <c r="E3" s="302"/>
      <c r="F3" s="302"/>
      <c r="G3" s="302"/>
      <c r="H3" s="302"/>
    </row>
    <row r="4" spans="1:8" ht="14.25" customHeight="1">
      <c r="A4" s="17"/>
      <c r="B4" s="17"/>
      <c r="C4" s="17"/>
      <c r="D4" s="17"/>
      <c r="E4" s="17"/>
      <c r="F4" s="17"/>
      <c r="G4" s="17"/>
      <c r="H4" s="17"/>
    </row>
    <row r="5" ht="15" thickBot="1"/>
    <row r="6" spans="2:9" ht="14.25">
      <c r="B6" s="171"/>
      <c r="C6" s="152" t="s">
        <v>0</v>
      </c>
      <c r="D6" s="78" t="s">
        <v>0</v>
      </c>
      <c r="E6" s="153" t="s">
        <v>0</v>
      </c>
      <c r="F6" s="187"/>
      <c r="G6" s="152" t="s">
        <v>1</v>
      </c>
      <c r="H6" s="78" t="s">
        <v>1</v>
      </c>
      <c r="I6" s="153" t="s">
        <v>1</v>
      </c>
    </row>
    <row r="7" spans="2:9" ht="14.25">
      <c r="B7" s="172"/>
      <c r="C7" s="154" t="s">
        <v>153</v>
      </c>
      <c r="D7" s="3" t="s">
        <v>42</v>
      </c>
      <c r="E7" s="55" t="s">
        <v>4</v>
      </c>
      <c r="F7" s="188"/>
      <c r="G7" s="154" t="s">
        <v>155</v>
      </c>
      <c r="H7" s="3" t="s">
        <v>42</v>
      </c>
      <c r="I7" s="55" t="s">
        <v>4</v>
      </c>
    </row>
    <row r="8" spans="2:9" ht="14.25">
      <c r="B8" s="172" t="s">
        <v>3</v>
      </c>
      <c r="C8" s="154" t="s">
        <v>4</v>
      </c>
      <c r="D8" s="3" t="s">
        <v>4</v>
      </c>
      <c r="E8" s="55" t="s">
        <v>154</v>
      </c>
      <c r="F8" s="188"/>
      <c r="G8" s="154" t="s">
        <v>156</v>
      </c>
      <c r="H8" s="3" t="s">
        <v>4</v>
      </c>
      <c r="I8" s="55" t="s">
        <v>154</v>
      </c>
    </row>
    <row r="9" spans="2:9" ht="14.25">
      <c r="B9" s="173"/>
      <c r="C9" s="155" t="s">
        <v>5</v>
      </c>
      <c r="D9" s="47" t="s">
        <v>5</v>
      </c>
      <c r="E9" s="156" t="s">
        <v>5</v>
      </c>
      <c r="F9" s="189"/>
      <c r="G9" s="155" t="s">
        <v>5</v>
      </c>
      <c r="H9" s="47" t="s">
        <v>5</v>
      </c>
      <c r="I9" s="156" t="s">
        <v>5</v>
      </c>
    </row>
    <row r="10" spans="2:9" ht="14.25">
      <c r="B10" s="174" t="s">
        <v>6</v>
      </c>
      <c r="C10" s="59"/>
      <c r="D10" s="21"/>
      <c r="E10" s="157"/>
      <c r="F10" s="190"/>
      <c r="G10" s="197"/>
      <c r="H10" s="6"/>
      <c r="I10" s="157"/>
    </row>
    <row r="11" spans="2:9" ht="14.25">
      <c r="B11" s="174" t="s">
        <v>29</v>
      </c>
      <c r="C11" s="59"/>
      <c r="D11" s="21"/>
      <c r="E11" s="157"/>
      <c r="F11" s="190"/>
      <c r="G11" s="197"/>
      <c r="H11" s="6"/>
      <c r="I11" s="157"/>
    </row>
    <row r="12" spans="2:9" ht="14.25">
      <c r="B12" s="175" t="s">
        <v>47</v>
      </c>
      <c r="C12" s="158">
        <v>-6946</v>
      </c>
      <c r="D12" s="6">
        <v>-7385</v>
      </c>
      <c r="E12" s="159">
        <f>D12-C12</f>
        <v>-439</v>
      </c>
      <c r="F12" s="191"/>
      <c r="G12" s="160">
        <v>-7518</v>
      </c>
      <c r="H12" s="6">
        <f>-2187+-3465+-173</f>
        <v>-5825</v>
      </c>
      <c r="I12" s="159">
        <f>H12-G12</f>
        <v>1693</v>
      </c>
    </row>
    <row r="13" spans="2:9" ht="14.25">
      <c r="B13" s="175" t="s">
        <v>48</v>
      </c>
      <c r="C13" s="158">
        <f>-10557--5129</f>
        <v>-5428</v>
      </c>
      <c r="D13" s="6">
        <f>-10880--5129</f>
        <v>-5751</v>
      </c>
      <c r="E13" s="159">
        <f aca="true" t="shared" si="0" ref="E13:E24">D13-C13</f>
        <v>-323</v>
      </c>
      <c r="F13" s="191"/>
      <c r="G13" s="160">
        <f>-6690--5000</f>
        <v>-1690</v>
      </c>
      <c r="H13" s="6">
        <v>-2401</v>
      </c>
      <c r="I13" s="159">
        <f aca="true" t="shared" si="1" ref="I13:I25">H13-G13</f>
        <v>-711</v>
      </c>
    </row>
    <row r="14" spans="2:9" ht="14.25">
      <c r="B14" s="176" t="s">
        <v>49</v>
      </c>
      <c r="C14" s="160">
        <v>-5129</v>
      </c>
      <c r="D14" s="10">
        <v>-5129</v>
      </c>
      <c r="E14" s="159">
        <f t="shared" si="0"/>
        <v>0</v>
      </c>
      <c r="F14" s="191"/>
      <c r="G14" s="160">
        <v>-5000</v>
      </c>
      <c r="H14" s="10">
        <v>-5000</v>
      </c>
      <c r="I14" s="159">
        <f t="shared" si="1"/>
        <v>0</v>
      </c>
    </row>
    <row r="15" spans="2:9" ht="14.25">
      <c r="B15" s="176" t="s">
        <v>52</v>
      </c>
      <c r="C15" s="160">
        <v>0</v>
      </c>
      <c r="D15" s="10">
        <v>-1247</v>
      </c>
      <c r="E15" s="159">
        <f t="shared" si="0"/>
        <v>-1247</v>
      </c>
      <c r="F15" s="191"/>
      <c r="G15" s="160">
        <v>0</v>
      </c>
      <c r="H15" s="10">
        <v>-1270</v>
      </c>
      <c r="I15" s="159">
        <f t="shared" si="1"/>
        <v>-1270</v>
      </c>
    </row>
    <row r="16" spans="2:9" ht="14.25">
      <c r="B16" s="176" t="s">
        <v>8</v>
      </c>
      <c r="C16" s="160">
        <v>-5658</v>
      </c>
      <c r="D16" s="10">
        <v>-5055</v>
      </c>
      <c r="E16" s="159">
        <f t="shared" si="0"/>
        <v>603</v>
      </c>
      <c r="F16" s="191"/>
      <c r="G16" s="160">
        <v>-500</v>
      </c>
      <c r="H16" s="6">
        <v>-4400</v>
      </c>
      <c r="I16" s="159">
        <f t="shared" si="1"/>
        <v>-3900</v>
      </c>
    </row>
    <row r="17" spans="2:9" ht="14.25">
      <c r="B17" s="175" t="s">
        <v>7</v>
      </c>
      <c r="C17" s="158">
        <f>-2255--2255</f>
        <v>0</v>
      </c>
      <c r="D17" s="6">
        <v>0</v>
      </c>
      <c r="E17" s="159">
        <f t="shared" si="0"/>
        <v>0</v>
      </c>
      <c r="F17" s="191"/>
      <c r="G17" s="160">
        <v>-300</v>
      </c>
      <c r="H17" s="6">
        <v>-300</v>
      </c>
      <c r="I17" s="159">
        <f t="shared" si="1"/>
        <v>0</v>
      </c>
    </row>
    <row r="18" spans="2:9" ht="14.25">
      <c r="B18" s="175" t="s">
        <v>60</v>
      </c>
      <c r="C18" s="158">
        <f>-1600+-1883</f>
        <v>-3483</v>
      </c>
      <c r="D18" s="6">
        <f>-1600+-2019</f>
        <v>-3619</v>
      </c>
      <c r="E18" s="159">
        <f t="shared" si="0"/>
        <v>-136</v>
      </c>
      <c r="F18" s="191"/>
      <c r="G18" s="160"/>
      <c r="H18" s="6">
        <v>-1401</v>
      </c>
      <c r="I18" s="159">
        <f t="shared" si="1"/>
        <v>-1401</v>
      </c>
    </row>
    <row r="19" spans="2:9" ht="14.25">
      <c r="B19" s="176" t="s">
        <v>61</v>
      </c>
      <c r="C19" s="160">
        <v>0</v>
      </c>
      <c r="D19" s="10">
        <v>-200</v>
      </c>
      <c r="E19" s="159">
        <f t="shared" si="0"/>
        <v>-200</v>
      </c>
      <c r="F19" s="191"/>
      <c r="G19" s="160"/>
      <c r="H19" s="6">
        <v>-200</v>
      </c>
      <c r="I19" s="159">
        <f t="shared" si="1"/>
        <v>-200</v>
      </c>
    </row>
    <row r="20" spans="2:9" ht="14.25">
      <c r="B20" s="176" t="s">
        <v>43</v>
      </c>
      <c r="C20" s="160">
        <f>-9515+-2255</f>
        <v>-11770</v>
      </c>
      <c r="D20" s="10">
        <f>-18051+-3632+2006</f>
        <v>-19677</v>
      </c>
      <c r="E20" s="159">
        <f t="shared" si="0"/>
        <v>-7907</v>
      </c>
      <c r="F20" s="191"/>
      <c r="G20" s="160">
        <v>-330</v>
      </c>
      <c r="H20" s="6">
        <v>-6112</v>
      </c>
      <c r="I20" s="159">
        <f t="shared" si="1"/>
        <v>-5782</v>
      </c>
    </row>
    <row r="21" spans="2:9" ht="15" thickBot="1">
      <c r="B21" s="176" t="s">
        <v>64</v>
      </c>
      <c r="C21" s="160">
        <v>-20</v>
      </c>
      <c r="D21" s="10">
        <v>-20</v>
      </c>
      <c r="E21" s="159">
        <f t="shared" si="0"/>
        <v>0</v>
      </c>
      <c r="F21" s="191"/>
      <c r="G21" s="160"/>
      <c r="H21" s="6">
        <v>0</v>
      </c>
      <c r="I21" s="159">
        <f t="shared" si="1"/>
        <v>0</v>
      </c>
    </row>
    <row r="22" spans="2:9" ht="14.25">
      <c r="B22" s="198" t="s">
        <v>44</v>
      </c>
      <c r="C22" s="199">
        <f>-16259--2000--385</f>
        <v>-13874</v>
      </c>
      <c r="D22" s="200">
        <f>-14259--417</f>
        <v>-13842</v>
      </c>
      <c r="E22" s="201">
        <f t="shared" si="0"/>
        <v>32</v>
      </c>
      <c r="F22" s="202"/>
      <c r="G22" s="203">
        <v>-12927</v>
      </c>
      <c r="H22" s="200">
        <f>-14627+1700</f>
        <v>-12927</v>
      </c>
      <c r="I22" s="201">
        <f t="shared" si="1"/>
        <v>0</v>
      </c>
    </row>
    <row r="23" spans="2:9" ht="14.25">
      <c r="B23" s="174" t="s">
        <v>58</v>
      </c>
      <c r="C23" s="158">
        <v>-385</v>
      </c>
      <c r="D23" s="6">
        <f>-180+-50+-187</f>
        <v>-417</v>
      </c>
      <c r="E23" s="159">
        <f t="shared" si="0"/>
        <v>-32</v>
      </c>
      <c r="F23" s="191"/>
      <c r="G23" s="160">
        <v>0</v>
      </c>
      <c r="H23" s="10">
        <v>-150</v>
      </c>
      <c r="I23" s="159">
        <f t="shared" si="1"/>
        <v>-150</v>
      </c>
    </row>
    <row r="24" spans="2:9" ht="15" thickBot="1">
      <c r="B24" s="204" t="s">
        <v>56</v>
      </c>
      <c r="C24" s="205">
        <v>-2000</v>
      </c>
      <c r="D24" s="206">
        <v>0</v>
      </c>
      <c r="E24" s="207">
        <f t="shared" si="0"/>
        <v>2000</v>
      </c>
      <c r="F24" s="208"/>
      <c r="G24" s="205">
        <v>0</v>
      </c>
      <c r="H24" s="209">
        <v>-2000</v>
      </c>
      <c r="I24" s="207">
        <f t="shared" si="1"/>
        <v>-2000</v>
      </c>
    </row>
    <row r="25" spans="2:9" ht="14.25">
      <c r="B25" s="177" t="s">
        <v>157</v>
      </c>
      <c r="C25" s="162">
        <v>0</v>
      </c>
      <c r="D25" s="49">
        <v>0</v>
      </c>
      <c r="E25" s="210">
        <v>0</v>
      </c>
      <c r="F25" s="211"/>
      <c r="G25" s="162">
        <v>-7291</v>
      </c>
      <c r="H25" s="212">
        <v>0</v>
      </c>
      <c r="I25" s="213">
        <f t="shared" si="1"/>
        <v>7291</v>
      </c>
    </row>
    <row r="26" spans="2:9" ht="14.25">
      <c r="B26" s="178" t="s">
        <v>9</v>
      </c>
      <c r="C26" s="163">
        <f>SUM(C12:C25)</f>
        <v>-54693</v>
      </c>
      <c r="D26" s="22">
        <f>SUM(D12:D24)</f>
        <v>-62342</v>
      </c>
      <c r="E26" s="164">
        <f>SUM(E12:E24)</f>
        <v>-7649</v>
      </c>
      <c r="F26" s="192"/>
      <c r="G26" s="163">
        <f>SUM(G12:G25)</f>
        <v>-35556</v>
      </c>
      <c r="H26" s="22">
        <f>SUM(H12:H25)</f>
        <v>-41986</v>
      </c>
      <c r="I26" s="164">
        <f>SUM(I12:I25)</f>
        <v>-6430</v>
      </c>
    </row>
    <row r="27" spans="2:9" ht="14.25">
      <c r="B27" s="174" t="s">
        <v>10</v>
      </c>
      <c r="C27" s="161"/>
      <c r="D27" s="21"/>
      <c r="E27" s="157"/>
      <c r="F27" s="190"/>
      <c r="G27" s="197"/>
      <c r="H27" s="6"/>
      <c r="I27" s="157"/>
    </row>
    <row r="28" spans="2:9" ht="14.25">
      <c r="B28" s="179" t="s">
        <v>11</v>
      </c>
      <c r="C28" s="161"/>
      <c r="D28" s="23"/>
      <c r="E28" s="165"/>
      <c r="F28" s="193"/>
      <c r="G28" s="69"/>
      <c r="H28" s="6"/>
      <c r="I28" s="165"/>
    </row>
    <row r="29" spans="2:9" ht="14.25">
      <c r="B29" s="180" t="s">
        <v>36</v>
      </c>
      <c r="C29" s="160">
        <f>13252-2000</f>
        <v>11252</v>
      </c>
      <c r="D29" s="24">
        <v>15936</v>
      </c>
      <c r="E29" s="159">
        <f>D29-C29</f>
        <v>4684</v>
      </c>
      <c r="F29" s="191"/>
      <c r="G29" s="160">
        <f>9489-2000</f>
        <v>7489</v>
      </c>
      <c r="H29" s="6">
        <v>12186</v>
      </c>
      <c r="I29" s="159">
        <f>H29-G29</f>
        <v>4697</v>
      </c>
    </row>
    <row r="30" spans="2:9" ht="14.25">
      <c r="B30" s="180" t="s">
        <v>57</v>
      </c>
      <c r="C30" s="160">
        <v>2000</v>
      </c>
      <c r="D30" s="24">
        <v>0</v>
      </c>
      <c r="E30" s="159">
        <f>D30-C30</f>
        <v>-2000</v>
      </c>
      <c r="F30" s="191"/>
      <c r="G30" s="160">
        <v>2000</v>
      </c>
      <c r="H30" s="6">
        <v>2000</v>
      </c>
      <c r="I30" s="159">
        <f>H30-G30</f>
        <v>0</v>
      </c>
    </row>
    <row r="31" spans="2:9" ht="14.25">
      <c r="B31" s="181" t="s">
        <v>12</v>
      </c>
      <c r="C31" s="71">
        <f>SUM(C29:C30)</f>
        <v>13252</v>
      </c>
      <c r="D31" s="8">
        <f>SUM(D29:D30)</f>
        <v>15936</v>
      </c>
      <c r="E31" s="68">
        <f>SUM(E29:E30)</f>
        <v>2684</v>
      </c>
      <c r="F31" s="194"/>
      <c r="G31" s="71">
        <f>SUM(G29:G30)</f>
        <v>9489</v>
      </c>
      <c r="H31" s="8">
        <f>SUM(H29:H30)</f>
        <v>14186</v>
      </c>
      <c r="I31" s="68">
        <f>SUM(I29:I30)</f>
        <v>4697</v>
      </c>
    </row>
    <row r="32" spans="2:9" ht="14.25">
      <c r="B32" s="182" t="s">
        <v>13</v>
      </c>
      <c r="C32" s="67"/>
      <c r="D32" s="26"/>
      <c r="E32" s="166"/>
      <c r="F32" s="193"/>
      <c r="G32" s="69"/>
      <c r="H32" s="6"/>
      <c r="I32" s="166"/>
    </row>
    <row r="33" spans="2:9" ht="14.25">
      <c r="B33" s="180" t="s">
        <v>32</v>
      </c>
      <c r="C33" s="160">
        <v>5129</v>
      </c>
      <c r="D33" s="24">
        <v>5129</v>
      </c>
      <c r="E33" s="159">
        <f>D33-C33</f>
        <v>0</v>
      </c>
      <c r="F33" s="191"/>
      <c r="G33" s="160">
        <v>5000</v>
      </c>
      <c r="H33" s="6">
        <v>5000</v>
      </c>
      <c r="I33" s="159">
        <f>H33-G33</f>
        <v>0</v>
      </c>
    </row>
    <row r="34" spans="2:9" ht="14.25">
      <c r="B34" s="180" t="s">
        <v>36</v>
      </c>
      <c r="C34" s="160">
        <f>15841-5129</f>
        <v>10712</v>
      </c>
      <c r="D34" s="24">
        <f>15136-5129</f>
        <v>10007</v>
      </c>
      <c r="E34" s="159">
        <f>D34-C34</f>
        <v>-705</v>
      </c>
      <c r="F34" s="191"/>
      <c r="G34" s="160">
        <f>5220+55</f>
        <v>5275</v>
      </c>
      <c r="H34" s="6">
        <f>650+4570+55+1620-915+515</f>
        <v>6495</v>
      </c>
      <c r="I34" s="159">
        <f>H34-G34</f>
        <v>1220</v>
      </c>
    </row>
    <row r="35" spans="2:9" ht="14.25">
      <c r="B35" s="180" t="s">
        <v>55</v>
      </c>
      <c r="C35" s="160">
        <v>0</v>
      </c>
      <c r="D35" s="24">
        <v>0</v>
      </c>
      <c r="E35" s="159">
        <f>D35-C35</f>
        <v>0</v>
      </c>
      <c r="F35" s="191"/>
      <c r="G35" s="160">
        <v>0</v>
      </c>
      <c r="H35" s="6">
        <v>200</v>
      </c>
      <c r="I35" s="159">
        <f>H35-G35</f>
        <v>200</v>
      </c>
    </row>
    <row r="36" spans="2:9" ht="14.25">
      <c r="B36" s="181" t="s">
        <v>14</v>
      </c>
      <c r="C36" s="71">
        <f>SUM(C33:C35)</f>
        <v>15841</v>
      </c>
      <c r="D36" s="8">
        <f>SUM(D33:D35)</f>
        <v>15136</v>
      </c>
      <c r="E36" s="68">
        <f>SUM(E33:E35)</f>
        <v>-705</v>
      </c>
      <c r="F36" s="194"/>
      <c r="G36" s="71">
        <f>SUM(G33:G35)</f>
        <v>10275</v>
      </c>
      <c r="H36" s="8">
        <f>SUM(H33:H35)</f>
        <v>11695</v>
      </c>
      <c r="I36" s="68">
        <f>SUM(I33:I35)</f>
        <v>1420</v>
      </c>
    </row>
    <row r="37" spans="2:9" ht="14.25">
      <c r="B37" s="182" t="s">
        <v>15</v>
      </c>
      <c r="C37" s="67"/>
      <c r="D37" s="26"/>
      <c r="E37" s="166"/>
      <c r="F37" s="193"/>
      <c r="G37" s="69"/>
      <c r="H37" s="6"/>
      <c r="I37" s="166"/>
    </row>
    <row r="38" spans="2:9" ht="14.25">
      <c r="B38" s="180" t="s">
        <v>36</v>
      </c>
      <c r="C38" s="160">
        <v>1945</v>
      </c>
      <c r="D38" s="24">
        <v>1157</v>
      </c>
      <c r="E38" s="159">
        <f>D38-C38</f>
        <v>-788</v>
      </c>
      <c r="F38" s="191"/>
      <c r="G38" s="160">
        <f>440+1868</f>
        <v>2308</v>
      </c>
      <c r="H38" s="6">
        <f>2073-150-500-17-250</f>
        <v>1156</v>
      </c>
      <c r="I38" s="159">
        <f>H38-G38</f>
        <v>-1152</v>
      </c>
    </row>
    <row r="39" spans="2:9" ht="14.25">
      <c r="B39" s="181" t="s">
        <v>16</v>
      </c>
      <c r="C39" s="73">
        <f>SUM(C38:C38)</f>
        <v>1945</v>
      </c>
      <c r="D39" s="9">
        <f>SUM(D38:D38)</f>
        <v>1157</v>
      </c>
      <c r="E39" s="167">
        <f>SUM(E38:E38)</f>
        <v>-788</v>
      </c>
      <c r="F39" s="194"/>
      <c r="G39" s="73">
        <f>SUM(G38:G38)</f>
        <v>2308</v>
      </c>
      <c r="H39" s="9">
        <f>SUM(H38:H38)</f>
        <v>1156</v>
      </c>
      <c r="I39" s="167">
        <f>SUM(I38:I38)</f>
        <v>-1152</v>
      </c>
    </row>
    <row r="40" spans="2:9" ht="14.25">
      <c r="B40" s="182" t="s">
        <v>45</v>
      </c>
      <c r="C40" s="67"/>
      <c r="D40" s="26"/>
      <c r="E40" s="166"/>
      <c r="F40" s="193"/>
      <c r="G40" s="69"/>
      <c r="H40" s="6"/>
      <c r="I40" s="166"/>
    </row>
    <row r="41" spans="2:9" ht="14.25">
      <c r="B41" s="180" t="s">
        <v>28</v>
      </c>
      <c r="C41" s="160">
        <v>5000</v>
      </c>
      <c r="D41" s="24">
        <v>5000</v>
      </c>
      <c r="E41" s="159">
        <f>D41-C41</f>
        <v>0</v>
      </c>
      <c r="F41" s="191"/>
      <c r="G41" s="160">
        <v>5300</v>
      </c>
      <c r="H41" s="6">
        <f>5000+350</f>
        <v>5350</v>
      </c>
      <c r="I41" s="159">
        <f>H41-G41</f>
        <v>50</v>
      </c>
    </row>
    <row r="42" spans="2:9" ht="14.25">
      <c r="B42" s="180" t="s">
        <v>17</v>
      </c>
      <c r="C42" s="160">
        <v>3969</v>
      </c>
      <c r="D42" s="24">
        <v>3969</v>
      </c>
      <c r="E42" s="159">
        <f>D42-C42</f>
        <v>0</v>
      </c>
      <c r="F42" s="191"/>
      <c r="G42" s="160">
        <v>3969</v>
      </c>
      <c r="H42" s="6">
        <v>3969</v>
      </c>
      <c r="I42" s="159">
        <f>H42-G42</f>
        <v>0</v>
      </c>
    </row>
    <row r="43" spans="2:9" ht="14.25">
      <c r="B43" s="180" t="s">
        <v>65</v>
      </c>
      <c r="C43" s="160">
        <f>221+37</f>
        <v>258</v>
      </c>
      <c r="D43" s="24">
        <v>221</v>
      </c>
      <c r="E43" s="159">
        <f>D43-C43</f>
        <v>-37</v>
      </c>
      <c r="F43" s="191"/>
      <c r="G43" s="160">
        <v>0</v>
      </c>
      <c r="H43" s="6">
        <v>0</v>
      </c>
      <c r="I43" s="159">
        <f>H43-G43</f>
        <v>0</v>
      </c>
    </row>
    <row r="44" spans="2:9" ht="14.25">
      <c r="B44" s="180" t="s">
        <v>36</v>
      </c>
      <c r="C44" s="160">
        <f>1850+247+300</f>
        <v>2397</v>
      </c>
      <c r="D44" s="24">
        <f>1850+266+300</f>
        <v>2416</v>
      </c>
      <c r="E44" s="159">
        <f>D44-C44</f>
        <v>19</v>
      </c>
      <c r="F44" s="191"/>
      <c r="G44" s="160">
        <v>800</v>
      </c>
      <c r="H44" s="6">
        <f>500+300</f>
        <v>800</v>
      </c>
      <c r="I44" s="159">
        <f>H44-G44</f>
        <v>0</v>
      </c>
    </row>
    <row r="45" spans="2:9" ht="14.25">
      <c r="B45" s="181" t="s">
        <v>19</v>
      </c>
      <c r="C45" s="71">
        <f>SUM(C41:C44)</f>
        <v>11624</v>
      </c>
      <c r="D45" s="8">
        <f>SUM(D41:D44)</f>
        <v>11606</v>
      </c>
      <c r="E45" s="68">
        <f>SUM(E41:E44)</f>
        <v>-18</v>
      </c>
      <c r="F45" s="194"/>
      <c r="G45" s="71">
        <f>SUM(G41:G44)</f>
        <v>10069</v>
      </c>
      <c r="H45" s="8">
        <f>SUM(H41:H44)</f>
        <v>10119</v>
      </c>
      <c r="I45" s="68">
        <f>SUM(I41:I44)</f>
        <v>50</v>
      </c>
    </row>
    <row r="46" spans="2:9" ht="14.25">
      <c r="B46" s="182" t="s">
        <v>20</v>
      </c>
      <c r="C46" s="67"/>
      <c r="D46" s="26"/>
      <c r="E46" s="166"/>
      <c r="F46" s="193"/>
      <c r="G46" s="69"/>
      <c r="H46" s="10"/>
      <c r="I46" s="166"/>
    </row>
    <row r="47" spans="2:9" ht="14.25">
      <c r="B47" s="180" t="s">
        <v>36</v>
      </c>
      <c r="C47" s="160">
        <v>4627</v>
      </c>
      <c r="D47" s="24">
        <v>4071</v>
      </c>
      <c r="E47" s="159">
        <f>D47-C47</f>
        <v>-556</v>
      </c>
      <c r="F47" s="191"/>
      <c r="G47" s="160">
        <f>690</f>
        <v>690</v>
      </c>
      <c r="H47" s="6">
        <f>1172-62</f>
        <v>1110</v>
      </c>
      <c r="I47" s="159">
        <f>H47-G47</f>
        <v>420</v>
      </c>
    </row>
    <row r="48" spans="2:9" ht="14.25">
      <c r="B48" s="180" t="s">
        <v>59</v>
      </c>
      <c r="C48" s="160">
        <v>0</v>
      </c>
      <c r="D48" s="24">
        <v>0</v>
      </c>
      <c r="E48" s="159">
        <f>D48-C48</f>
        <v>0</v>
      </c>
      <c r="F48" s="191"/>
      <c r="G48" s="160">
        <v>0</v>
      </c>
      <c r="H48" s="10">
        <v>150</v>
      </c>
      <c r="I48" s="159">
        <f>H48-G48</f>
        <v>150</v>
      </c>
    </row>
    <row r="49" spans="2:9" ht="14.25">
      <c r="B49" s="181" t="s">
        <v>21</v>
      </c>
      <c r="C49" s="71">
        <f>SUM(C47:C48)</f>
        <v>4627</v>
      </c>
      <c r="D49" s="8">
        <f>SUM(D47:D48)</f>
        <v>4071</v>
      </c>
      <c r="E49" s="68">
        <f>SUM(E47:E48)</f>
        <v>-556</v>
      </c>
      <c r="F49" s="194"/>
      <c r="G49" s="71">
        <f>SUM(G47:G48)</f>
        <v>690</v>
      </c>
      <c r="H49" s="8">
        <f>SUM(H47:H48)</f>
        <v>1260</v>
      </c>
      <c r="I49" s="68">
        <f>SUM(I47:I48)</f>
        <v>570</v>
      </c>
    </row>
    <row r="50" spans="2:9" ht="14.25">
      <c r="B50" s="183" t="s">
        <v>22</v>
      </c>
      <c r="C50" s="71">
        <f>C49+C45+C39+C36+C31</f>
        <v>47289</v>
      </c>
      <c r="D50" s="8">
        <f>D49+D45+D39+D36+D31</f>
        <v>47906</v>
      </c>
      <c r="E50" s="68">
        <f>E49+E45+E39+E36+E31</f>
        <v>617</v>
      </c>
      <c r="F50" s="194"/>
      <c r="G50" s="71">
        <f>G49+G45+G39+G36+G31</f>
        <v>32831</v>
      </c>
      <c r="H50" s="8">
        <f>H49+H45+H39+H36+H31</f>
        <v>38416</v>
      </c>
      <c r="I50" s="68">
        <f>I49+I45+I39+I36+I31</f>
        <v>5585</v>
      </c>
    </row>
    <row r="51" spans="2:9" ht="14.25">
      <c r="B51" s="184" t="s">
        <v>23</v>
      </c>
      <c r="C51" s="168"/>
      <c r="D51" s="28"/>
      <c r="E51" s="169"/>
      <c r="F51" s="195"/>
      <c r="G51" s="72"/>
      <c r="H51" s="46"/>
      <c r="I51" s="169"/>
    </row>
    <row r="52" spans="2:9" ht="14.25">
      <c r="B52" s="180" t="s">
        <v>24</v>
      </c>
      <c r="C52" s="160">
        <v>300</v>
      </c>
      <c r="D52" s="24">
        <v>300</v>
      </c>
      <c r="E52" s="159">
        <f aca="true" t="shared" si="2" ref="E52:E61">D52-C52</f>
        <v>0</v>
      </c>
      <c r="F52" s="191"/>
      <c r="G52" s="160">
        <v>300</v>
      </c>
      <c r="H52" s="6">
        <v>300</v>
      </c>
      <c r="I52" s="159">
        <f aca="true" t="shared" si="3" ref="I52:I61">H52-G52</f>
        <v>0</v>
      </c>
    </row>
    <row r="53" spans="2:9" ht="14.25">
      <c r="B53" s="180" t="s">
        <v>66</v>
      </c>
      <c r="C53" s="160">
        <v>850</v>
      </c>
      <c r="D53" s="24">
        <v>850</v>
      </c>
      <c r="E53" s="159">
        <f t="shared" si="2"/>
        <v>0</v>
      </c>
      <c r="F53" s="191"/>
      <c r="G53" s="160">
        <v>0</v>
      </c>
      <c r="H53" s="6">
        <v>0</v>
      </c>
      <c r="I53" s="159">
        <f t="shared" si="3"/>
        <v>0</v>
      </c>
    </row>
    <row r="54" spans="2:9" ht="14.25">
      <c r="B54" s="180" t="s">
        <v>25</v>
      </c>
      <c r="C54" s="160">
        <v>659</v>
      </c>
      <c r="D54" s="24">
        <v>659</v>
      </c>
      <c r="E54" s="159">
        <f t="shared" si="2"/>
        <v>0</v>
      </c>
      <c r="F54" s="191"/>
      <c r="G54" s="160">
        <v>659</v>
      </c>
      <c r="H54" s="6">
        <v>659</v>
      </c>
      <c r="I54" s="159">
        <f t="shared" si="3"/>
        <v>0</v>
      </c>
    </row>
    <row r="55" spans="2:9" ht="14.25">
      <c r="B55" s="180" t="s">
        <v>67</v>
      </c>
      <c r="C55" s="160">
        <v>140</v>
      </c>
      <c r="D55" s="24">
        <v>140</v>
      </c>
      <c r="E55" s="159">
        <f t="shared" si="2"/>
        <v>0</v>
      </c>
      <c r="F55" s="191"/>
      <c r="G55" s="160">
        <v>0</v>
      </c>
      <c r="H55" s="6">
        <v>0</v>
      </c>
      <c r="I55" s="159">
        <f t="shared" si="3"/>
        <v>0</v>
      </c>
    </row>
    <row r="56" spans="2:9" ht="15" thickBot="1">
      <c r="B56" s="180" t="s">
        <v>68</v>
      </c>
      <c r="C56" s="160">
        <v>42</v>
      </c>
      <c r="D56" s="24">
        <v>42</v>
      </c>
      <c r="E56" s="159">
        <f t="shared" si="2"/>
        <v>0</v>
      </c>
      <c r="F56" s="191"/>
      <c r="G56" s="160">
        <v>0</v>
      </c>
      <c r="H56" s="6">
        <v>0</v>
      </c>
      <c r="I56" s="159">
        <f t="shared" si="3"/>
        <v>0</v>
      </c>
    </row>
    <row r="57" spans="2:15" ht="15" thickBot="1">
      <c r="B57" s="180" t="s">
        <v>69</v>
      </c>
      <c r="C57" s="160">
        <v>250</v>
      </c>
      <c r="D57" s="24">
        <v>250</v>
      </c>
      <c r="E57" s="159">
        <f t="shared" si="2"/>
        <v>0</v>
      </c>
      <c r="F57" s="191"/>
      <c r="G57" s="160">
        <v>0</v>
      </c>
      <c r="H57" s="6">
        <v>0</v>
      </c>
      <c r="I57" s="159">
        <f t="shared" si="3"/>
        <v>0</v>
      </c>
      <c r="O57" s="214"/>
    </row>
    <row r="58" spans="2:9" ht="14.25">
      <c r="B58" s="180" t="s">
        <v>70</v>
      </c>
      <c r="C58" s="160">
        <v>700</v>
      </c>
      <c r="D58" s="24">
        <v>700</v>
      </c>
      <c r="E58" s="159">
        <f t="shared" si="2"/>
        <v>0</v>
      </c>
      <c r="F58" s="191"/>
      <c r="G58" s="160">
        <v>0</v>
      </c>
      <c r="H58" s="6">
        <v>0</v>
      </c>
      <c r="I58" s="159">
        <f t="shared" si="3"/>
        <v>0</v>
      </c>
    </row>
    <row r="59" spans="2:9" ht="14.25">
      <c r="B59" s="180" t="s">
        <v>38</v>
      </c>
      <c r="C59" s="160">
        <f>708+3042+1400-1017</f>
        <v>4133</v>
      </c>
      <c r="D59" s="24">
        <f>708+4292+1400-1017</f>
        <v>5383</v>
      </c>
      <c r="E59" s="159">
        <f t="shared" si="2"/>
        <v>1250</v>
      </c>
      <c r="F59" s="191"/>
      <c r="G59" s="160">
        <v>766</v>
      </c>
      <c r="H59" s="6">
        <v>766</v>
      </c>
      <c r="I59" s="159">
        <f t="shared" si="3"/>
        <v>0</v>
      </c>
    </row>
    <row r="60" spans="2:9" ht="14.25">
      <c r="B60" s="180" t="s">
        <v>62</v>
      </c>
      <c r="C60" s="160">
        <v>0</v>
      </c>
      <c r="D60" s="24">
        <v>0</v>
      </c>
      <c r="E60" s="159">
        <f t="shared" si="2"/>
        <v>0</v>
      </c>
      <c r="F60" s="191"/>
      <c r="G60" s="160">
        <v>0</v>
      </c>
      <c r="H60" s="6">
        <v>80</v>
      </c>
      <c r="I60" s="159">
        <f t="shared" si="3"/>
        <v>80</v>
      </c>
    </row>
    <row r="61" spans="2:9" ht="14.25">
      <c r="B61" s="185" t="s">
        <v>46</v>
      </c>
      <c r="C61" s="160">
        <v>0</v>
      </c>
      <c r="D61" s="24">
        <v>0</v>
      </c>
      <c r="E61" s="159">
        <f t="shared" si="2"/>
        <v>0</v>
      </c>
      <c r="F61" s="191"/>
      <c r="G61" s="160">
        <v>1000</v>
      </c>
      <c r="H61" s="6">
        <v>1000</v>
      </c>
      <c r="I61" s="159">
        <f t="shared" si="3"/>
        <v>0</v>
      </c>
    </row>
    <row r="62" spans="2:9" ht="14.25">
      <c r="B62" s="178" t="s">
        <v>35</v>
      </c>
      <c r="C62" s="73">
        <f>SUM(C52:C61)</f>
        <v>7074</v>
      </c>
      <c r="D62" s="9">
        <f>SUM(D52:D61)</f>
        <v>8324</v>
      </c>
      <c r="E62" s="167">
        <f>SUM(E52:E61)</f>
        <v>1250</v>
      </c>
      <c r="F62" s="194"/>
      <c r="G62" s="73">
        <f>SUM(G52:G61)</f>
        <v>2725</v>
      </c>
      <c r="H62" s="9">
        <f>SUM(H52:H61)</f>
        <v>2805</v>
      </c>
      <c r="I62" s="167">
        <f>SUM(I52:I61)</f>
        <v>80</v>
      </c>
    </row>
    <row r="63" spans="2:9" ht="14.25">
      <c r="B63" s="186" t="s">
        <v>26</v>
      </c>
      <c r="C63" s="109">
        <f>C62+C50</f>
        <v>54363</v>
      </c>
      <c r="D63" s="110">
        <f>D62+D50</f>
        <v>56230</v>
      </c>
      <c r="E63" s="170">
        <f>E62+E50</f>
        <v>1867</v>
      </c>
      <c r="F63" s="196"/>
      <c r="G63" s="109">
        <f>G62+G50</f>
        <v>35556</v>
      </c>
      <c r="H63" s="110">
        <f>H62+H50</f>
        <v>41221</v>
      </c>
      <c r="I63" s="170">
        <f>I62+I50</f>
        <v>5665</v>
      </c>
    </row>
    <row r="64" spans="2:9" ht="15" thickBot="1">
      <c r="B64" s="215" t="s">
        <v>27</v>
      </c>
      <c r="C64" s="75">
        <f>C63+C26</f>
        <v>-330</v>
      </c>
      <c r="D64" s="76">
        <f>D63+D26</f>
        <v>-6112</v>
      </c>
      <c r="E64" s="216">
        <f>E63+E26</f>
        <v>-5782</v>
      </c>
      <c r="F64" s="217"/>
      <c r="G64" s="75">
        <f>G63+G26</f>
        <v>0</v>
      </c>
      <c r="H64" s="77">
        <f>H63+H26</f>
        <v>-765</v>
      </c>
      <c r="I64" s="216">
        <f>I63+I26</f>
        <v>-765</v>
      </c>
    </row>
    <row r="65" spans="2:8" ht="14.25">
      <c r="B65" s="13"/>
      <c r="C65" s="13"/>
      <c r="D65" s="13"/>
      <c r="E65" s="13"/>
      <c r="F65" s="13"/>
      <c r="G65" s="13"/>
      <c r="H65" s="13"/>
    </row>
    <row r="66" spans="2:8" ht="14.25">
      <c r="B66" s="13"/>
      <c r="C66" s="13"/>
      <c r="D66" s="13"/>
      <c r="E66" s="13"/>
      <c r="F66" s="13"/>
      <c r="G66" s="13"/>
      <c r="H66" s="13"/>
    </row>
    <row r="67" spans="1:8" ht="14.25">
      <c r="A67"/>
      <c r="B67"/>
      <c r="C67"/>
      <c r="D67"/>
      <c r="E67"/>
      <c r="F67"/>
      <c r="G67"/>
      <c r="H67"/>
    </row>
    <row r="68" spans="1:8" ht="18">
      <c r="A68" s="302" t="s">
        <v>41</v>
      </c>
      <c r="B68" s="302"/>
      <c r="C68" s="302"/>
      <c r="D68" s="302"/>
      <c r="E68" s="302"/>
      <c r="F68" s="302"/>
      <c r="G68" s="302"/>
      <c r="H68" s="302"/>
    </row>
    <row r="69" spans="1:8" ht="14.25">
      <c r="A69"/>
      <c r="B69"/>
      <c r="C69"/>
      <c r="D69"/>
      <c r="E69"/>
      <c r="F69"/>
      <c r="G69"/>
      <c r="H69"/>
    </row>
    <row r="70" spans="1:8" ht="18">
      <c r="A70" s="302" t="s">
        <v>34</v>
      </c>
      <c r="B70" s="302"/>
      <c r="C70" s="302"/>
      <c r="D70" s="302"/>
      <c r="E70" s="302"/>
      <c r="F70" s="302"/>
      <c r="G70" s="302"/>
      <c r="H70" s="302"/>
    </row>
    <row r="71" ht="15" thickBot="1"/>
    <row r="72" spans="2:9" ht="14.25">
      <c r="B72" s="51"/>
      <c r="C72" s="152" t="s">
        <v>0</v>
      </c>
      <c r="D72" s="52" t="s">
        <v>0</v>
      </c>
      <c r="E72" s="153" t="s">
        <v>0</v>
      </c>
      <c r="F72" s="187"/>
      <c r="G72" s="152" t="s">
        <v>1</v>
      </c>
      <c r="H72" s="78" t="s">
        <v>1</v>
      </c>
      <c r="I72" s="153" t="s">
        <v>1</v>
      </c>
    </row>
    <row r="73" spans="2:9" ht="14.25">
      <c r="B73" s="54" t="s">
        <v>3</v>
      </c>
      <c r="C73" s="154" t="s">
        <v>153</v>
      </c>
      <c r="D73" s="4" t="s">
        <v>42</v>
      </c>
      <c r="E73" s="55" t="s">
        <v>4</v>
      </c>
      <c r="F73" s="188"/>
      <c r="G73" s="154" t="s">
        <v>155</v>
      </c>
      <c r="H73" s="3" t="s">
        <v>42</v>
      </c>
      <c r="I73" s="55" t="s">
        <v>4</v>
      </c>
    </row>
    <row r="74" spans="2:9" ht="14.25">
      <c r="B74" s="54"/>
      <c r="C74" s="154" t="s">
        <v>4</v>
      </c>
      <c r="D74" s="4" t="s">
        <v>4</v>
      </c>
      <c r="E74" s="55" t="s">
        <v>154</v>
      </c>
      <c r="F74" s="188"/>
      <c r="G74" s="154" t="s">
        <v>156</v>
      </c>
      <c r="H74" s="3" t="s">
        <v>4</v>
      </c>
      <c r="I74" s="55" t="s">
        <v>154</v>
      </c>
    </row>
    <row r="75" spans="2:9" ht="14.25">
      <c r="B75" s="57"/>
      <c r="C75" s="155" t="s">
        <v>5</v>
      </c>
      <c r="D75" s="5" t="s">
        <v>5</v>
      </c>
      <c r="E75" s="156" t="s">
        <v>5</v>
      </c>
      <c r="F75" s="189"/>
      <c r="G75" s="155"/>
      <c r="H75" s="5" t="s">
        <v>5</v>
      </c>
      <c r="I75" s="221"/>
    </row>
    <row r="76" spans="2:9" ht="14.25">
      <c r="B76" s="59" t="s">
        <v>39</v>
      </c>
      <c r="C76" s="41"/>
      <c r="D76" s="41"/>
      <c r="E76" s="41"/>
      <c r="F76" s="190"/>
      <c r="G76" s="197"/>
      <c r="H76" s="19"/>
      <c r="I76" s="88"/>
    </row>
    <row r="77" spans="2:9" ht="14.25">
      <c r="B77" s="59" t="s">
        <v>30</v>
      </c>
      <c r="C77" s="41"/>
      <c r="D77" s="41"/>
      <c r="E77" s="41"/>
      <c r="F77" s="190"/>
      <c r="G77" s="197"/>
      <c r="H77" s="7"/>
      <c r="I77" s="88"/>
    </row>
    <row r="78" spans="2:9" ht="14.25">
      <c r="B78" s="61" t="s">
        <v>47</v>
      </c>
      <c r="C78" s="7">
        <v>-5264</v>
      </c>
      <c r="D78" s="7">
        <v>-5264</v>
      </c>
      <c r="E78" s="159">
        <f>D78-C78</f>
        <v>0</v>
      </c>
      <c r="F78" s="191"/>
      <c r="G78" s="7">
        <v>-5264</v>
      </c>
      <c r="H78" s="7">
        <v>-6224</v>
      </c>
      <c r="I78" s="159">
        <f>H78-G78</f>
        <v>-960</v>
      </c>
    </row>
    <row r="79" spans="2:9" ht="14.25">
      <c r="B79" s="61" t="s">
        <v>50</v>
      </c>
      <c r="C79" s="7">
        <v>-22500</v>
      </c>
      <c r="D79" s="7">
        <v>-22500</v>
      </c>
      <c r="E79" s="159">
        <f>D79-C79</f>
        <v>0</v>
      </c>
      <c r="F79" s="191"/>
      <c r="G79" s="7">
        <v>-11500</v>
      </c>
      <c r="H79" s="7">
        <v>-11250</v>
      </c>
      <c r="I79" s="159">
        <f>H79-G79</f>
        <v>250</v>
      </c>
    </row>
    <row r="80" spans="2:9" ht="14.25">
      <c r="B80" s="61" t="s">
        <v>51</v>
      </c>
      <c r="C80" s="7">
        <v>0</v>
      </c>
      <c r="D80" s="7">
        <v>0</v>
      </c>
      <c r="E80" s="159">
        <f>D80-C80</f>
        <v>0</v>
      </c>
      <c r="F80" s="191"/>
      <c r="G80" s="7">
        <v>0</v>
      </c>
      <c r="H80" s="7">
        <v>-8997</v>
      </c>
      <c r="I80" s="159">
        <f>H80-G80</f>
        <v>-8997</v>
      </c>
    </row>
    <row r="81" spans="2:9" ht="14.25">
      <c r="B81" s="61" t="s">
        <v>54</v>
      </c>
      <c r="C81" s="7">
        <v>0</v>
      </c>
      <c r="D81" s="7">
        <v>0</v>
      </c>
      <c r="E81" s="159">
        <f>D81-C81</f>
        <v>0</v>
      </c>
      <c r="F81" s="191"/>
      <c r="G81" s="160">
        <v>0</v>
      </c>
      <c r="H81" s="7">
        <v>-14000</v>
      </c>
      <c r="I81" s="159">
        <f>H81-G81</f>
        <v>-14000</v>
      </c>
    </row>
    <row r="82" spans="2:9" ht="14.25">
      <c r="B82" s="59" t="s">
        <v>31</v>
      </c>
      <c r="C82" s="7">
        <v>0</v>
      </c>
      <c r="D82" s="7">
        <v>0</v>
      </c>
      <c r="E82" s="159">
        <f>D82-C82</f>
        <v>0</v>
      </c>
      <c r="F82" s="191"/>
      <c r="G82" s="160">
        <v>0</v>
      </c>
      <c r="H82" s="7">
        <v>0</v>
      </c>
      <c r="I82" s="159">
        <f>H82-G82</f>
        <v>0</v>
      </c>
    </row>
    <row r="83" spans="2:9" ht="14.25">
      <c r="B83" s="73" t="s">
        <v>9</v>
      </c>
      <c r="C83" s="29">
        <f>SUM(C78:C82)</f>
        <v>-27764</v>
      </c>
      <c r="D83" s="29">
        <f>SUM(D78:D82)</f>
        <v>-27764</v>
      </c>
      <c r="E83" s="29">
        <f>SUM(E78:E82)</f>
        <v>0</v>
      </c>
      <c r="F83" s="218"/>
      <c r="G83" s="220">
        <f>SUM(G78:G82)</f>
        <v>-16764</v>
      </c>
      <c r="H83" s="29">
        <f>SUM(H78:H82)</f>
        <v>-40471</v>
      </c>
      <c r="I83" s="85">
        <f>SUM(I78:I82)</f>
        <v>-23707</v>
      </c>
    </row>
    <row r="84" spans="2:9" ht="14.25">
      <c r="B84" s="59" t="s">
        <v>10</v>
      </c>
      <c r="C84" s="41"/>
      <c r="D84" s="41"/>
      <c r="E84" s="41"/>
      <c r="F84" s="190"/>
      <c r="G84" s="197"/>
      <c r="H84" s="7"/>
      <c r="I84" s="88"/>
    </row>
    <row r="85" spans="2:9" ht="14.25">
      <c r="B85" s="65" t="s">
        <v>34</v>
      </c>
      <c r="C85" s="42"/>
      <c r="D85" s="42"/>
      <c r="E85" s="42"/>
      <c r="F85" s="193"/>
      <c r="G85" s="69"/>
      <c r="H85" s="7"/>
      <c r="I85" s="88"/>
    </row>
    <row r="86" spans="2:9" ht="14.25">
      <c r="B86" s="86" t="s">
        <v>18</v>
      </c>
      <c r="C86" s="44">
        <v>27764</v>
      </c>
      <c r="D86" s="44">
        <v>27764</v>
      </c>
      <c r="E86" s="159">
        <f>D86-C86</f>
        <v>0</v>
      </c>
      <c r="F86" s="219"/>
      <c r="G86" s="7">
        <f>5264+11500</f>
        <v>16764</v>
      </c>
      <c r="H86" s="7">
        <f>26471+14000</f>
        <v>40471</v>
      </c>
      <c r="I86" s="159">
        <f>H86-G86</f>
        <v>23707</v>
      </c>
    </row>
    <row r="87" spans="2:9" ht="14.25">
      <c r="B87" s="86" t="s">
        <v>53</v>
      </c>
      <c r="C87" s="44">
        <v>0</v>
      </c>
      <c r="D87" s="44">
        <v>0</v>
      </c>
      <c r="E87" s="159">
        <f>D87-C87</f>
        <v>0</v>
      </c>
      <c r="F87" s="219"/>
      <c r="G87" s="66"/>
      <c r="H87" s="7">
        <v>0</v>
      </c>
      <c r="I87" s="159">
        <f>H87-G87</f>
        <v>0</v>
      </c>
    </row>
    <row r="88" spans="2:9" ht="14.25">
      <c r="B88" s="73" t="s">
        <v>40</v>
      </c>
      <c r="C88" s="16">
        <f>SUM(C86:C87)</f>
        <v>27764</v>
      </c>
      <c r="D88" s="16">
        <f>SUM(D86:D87)</f>
        <v>27764</v>
      </c>
      <c r="E88" s="16">
        <f>SUM(E86:E87)</f>
        <v>0</v>
      </c>
      <c r="F88" s="194"/>
      <c r="G88" s="71">
        <f>SUM(G86:G87)</f>
        <v>16764</v>
      </c>
      <c r="H88" s="16">
        <f>SUM(H86:H87)</f>
        <v>40471</v>
      </c>
      <c r="I88" s="70">
        <f>SUM(I86:I87)</f>
        <v>23707</v>
      </c>
    </row>
    <row r="89" spans="2:9" ht="15" thickBot="1">
      <c r="B89" s="75" t="s">
        <v>27</v>
      </c>
      <c r="C89" s="76">
        <f>C88+C83</f>
        <v>0</v>
      </c>
      <c r="D89" s="76">
        <f>D88+D83</f>
        <v>0</v>
      </c>
      <c r="E89" s="76">
        <f>E88+E83</f>
        <v>0</v>
      </c>
      <c r="F89" s="217"/>
      <c r="G89" s="75">
        <f>G88+G83</f>
        <v>0</v>
      </c>
      <c r="H89" s="76">
        <f>H88+H83</f>
        <v>0</v>
      </c>
      <c r="I89" s="216">
        <f>I88+I83</f>
        <v>0</v>
      </c>
    </row>
    <row r="91" spans="2:8" ht="14.25" customHeight="1">
      <c r="B91" s="12"/>
      <c r="C91" s="12"/>
      <c r="D91" s="12"/>
      <c r="E91" s="12"/>
      <c r="F91" s="12"/>
      <c r="G91" s="12"/>
      <c r="H91" s="13"/>
    </row>
    <row r="92" spans="1:8" ht="29.25" customHeight="1">
      <c r="A92" s="31"/>
      <c r="B92" s="301"/>
      <c r="C92" s="301"/>
      <c r="D92" s="301"/>
      <c r="E92" s="301"/>
      <c r="F92" s="301"/>
      <c r="G92" s="301"/>
      <c r="H92" s="301"/>
    </row>
    <row r="93" spans="2:8" ht="14.25">
      <c r="B93" s="12"/>
      <c r="C93" s="12"/>
      <c r="D93" s="12"/>
      <c r="E93" s="12"/>
      <c r="F93" s="12"/>
      <c r="G93" s="12"/>
      <c r="H93" s="13"/>
    </row>
    <row r="94" spans="2:8" ht="14.25">
      <c r="B94" s="12"/>
      <c r="C94" s="12"/>
      <c r="D94" s="12"/>
      <c r="E94" s="12"/>
      <c r="F94" s="12"/>
      <c r="G94" s="12"/>
      <c r="H94" s="13"/>
    </row>
    <row r="95" spans="1:8" ht="14.25" customHeight="1">
      <c r="A95" s="33"/>
      <c r="B95" s="34"/>
      <c r="C95" s="34"/>
      <c r="D95" s="34"/>
      <c r="E95" s="34"/>
      <c r="F95" s="34"/>
      <c r="G95" s="34"/>
      <c r="H95" s="34"/>
    </row>
    <row r="96" ht="30" customHeight="1">
      <c r="H96" s="1"/>
    </row>
    <row r="97" spans="8:10" ht="14.25">
      <c r="H97" s="1"/>
      <c r="I97"/>
      <c r="J97"/>
    </row>
    <row r="98" spans="8:10" ht="14.25">
      <c r="H98" s="1"/>
      <c r="I98" s="35"/>
      <c r="J98"/>
    </row>
    <row r="99" spans="8:10" ht="14.25">
      <c r="H99" s="1"/>
      <c r="I99" s="36"/>
      <c r="J99"/>
    </row>
    <row r="100" spans="8:10" ht="14.25">
      <c r="H100" s="1"/>
      <c r="I100" s="20"/>
      <c r="J100"/>
    </row>
    <row r="101" spans="8:10" ht="14.25">
      <c r="H101" s="1"/>
      <c r="I101" s="20"/>
      <c r="J101"/>
    </row>
    <row r="102" spans="8:10" ht="14.25">
      <c r="H102" s="1"/>
      <c r="I102" s="20"/>
      <c r="J102"/>
    </row>
    <row r="103" spans="8:10" ht="14.25">
      <c r="H103" s="1"/>
      <c r="I103" s="20"/>
      <c r="J103"/>
    </row>
    <row r="104" spans="8:10" ht="14.25">
      <c r="H104" s="1"/>
      <c r="I104" s="37"/>
      <c r="J104"/>
    </row>
    <row r="105" spans="8:10" ht="14.25">
      <c r="H105" s="1"/>
      <c r="I105" s="37"/>
      <c r="J105"/>
    </row>
    <row r="106" spans="8:10" ht="14.25">
      <c r="H106" s="1"/>
      <c r="I106" s="37"/>
      <c r="J106"/>
    </row>
    <row r="107" spans="8:10" ht="14.25">
      <c r="H107" s="1"/>
      <c r="I107" s="37"/>
      <c r="J107"/>
    </row>
    <row r="108" spans="8:10" ht="14.25">
      <c r="H108" s="1"/>
      <c r="I108" s="37"/>
      <c r="J108"/>
    </row>
    <row r="109" spans="8:10" ht="14.25">
      <c r="H109" s="1"/>
      <c r="I109" s="37"/>
      <c r="J109"/>
    </row>
    <row r="110" spans="8:10" ht="14.25">
      <c r="H110" s="1"/>
      <c r="I110" s="37"/>
      <c r="J110"/>
    </row>
    <row r="111" spans="8:10" ht="14.25">
      <c r="H111" s="1"/>
      <c r="I111" s="37"/>
      <c r="J111"/>
    </row>
    <row r="112" spans="8:10" ht="14.25">
      <c r="H112" s="1"/>
      <c r="I112" s="37"/>
      <c r="J112"/>
    </row>
    <row r="113" spans="8:10" ht="14.25">
      <c r="H113" s="1"/>
      <c r="I113" s="37"/>
      <c r="J113"/>
    </row>
    <row r="114" spans="8:10" ht="14.25">
      <c r="H114" s="1"/>
      <c r="I114" s="37"/>
      <c r="J114"/>
    </row>
    <row r="115" spans="8:10" ht="14.25">
      <c r="H115" s="1"/>
      <c r="I115" s="37"/>
      <c r="J115"/>
    </row>
    <row r="116" spans="8:10" ht="14.25">
      <c r="H116" s="1"/>
      <c r="I116" s="38"/>
      <c r="J116"/>
    </row>
    <row r="117" spans="8:10" ht="14.25">
      <c r="H117" s="1"/>
      <c r="I117" s="20"/>
      <c r="J117"/>
    </row>
    <row r="118" spans="8:10" ht="14.25">
      <c r="H118" s="1"/>
      <c r="I118" s="20"/>
      <c r="J118"/>
    </row>
    <row r="119" spans="8:10" ht="14.25">
      <c r="H119" s="1"/>
      <c r="I119" s="35"/>
      <c r="J119"/>
    </row>
    <row r="120" spans="8:10" ht="14.25">
      <c r="H120" s="1"/>
      <c r="I120" s="36"/>
      <c r="J120"/>
    </row>
    <row r="121" spans="8:10" ht="14.25">
      <c r="H121" s="1"/>
      <c r="I121" s="20"/>
      <c r="J121"/>
    </row>
    <row r="122" spans="8:10" ht="14.25">
      <c r="H122" s="1"/>
      <c r="I122" s="20"/>
      <c r="J122"/>
    </row>
    <row r="123" spans="8:10" ht="14.25">
      <c r="H123" s="1"/>
      <c r="I123" s="20"/>
      <c r="J123"/>
    </row>
    <row r="124" spans="8:10" ht="14.25">
      <c r="H124" s="1"/>
      <c r="I124" s="20"/>
      <c r="J124"/>
    </row>
    <row r="125" spans="8:10" ht="14.25">
      <c r="H125" s="1"/>
      <c r="I125" s="37"/>
      <c r="J125"/>
    </row>
    <row r="126" spans="8:10" ht="14.25">
      <c r="H126" s="1"/>
      <c r="I126" s="39"/>
      <c r="J126"/>
    </row>
    <row r="127" spans="8:10" ht="14.25">
      <c r="H127" s="1"/>
      <c r="I127" s="39"/>
      <c r="J127"/>
    </row>
    <row r="128" spans="8:10" ht="14.25">
      <c r="H128" s="1"/>
      <c r="I128" s="37"/>
      <c r="J128"/>
    </row>
    <row r="129" spans="8:10" ht="14.25">
      <c r="H129" s="1"/>
      <c r="I129" s="39"/>
      <c r="J129"/>
    </row>
    <row r="130" spans="8:10" ht="14.25">
      <c r="H130" s="1"/>
      <c r="I130" s="39"/>
      <c r="J130"/>
    </row>
    <row r="131" spans="8:10" ht="14.25">
      <c r="H131" s="1"/>
      <c r="I131" s="37"/>
      <c r="J131"/>
    </row>
    <row r="132" spans="8:10" ht="14.25">
      <c r="H132" s="1"/>
      <c r="I132" s="39"/>
      <c r="J132"/>
    </row>
    <row r="133" spans="8:10" ht="14.25">
      <c r="H133" s="1"/>
      <c r="I133" s="38"/>
      <c r="J133"/>
    </row>
    <row r="134" spans="8:10" ht="14.25">
      <c r="H134" s="1"/>
      <c r="I134"/>
      <c r="J134"/>
    </row>
    <row r="135" spans="8:10" ht="14.25">
      <c r="H135" s="1"/>
      <c r="I135"/>
      <c r="J135"/>
    </row>
    <row r="136" spans="8:10" ht="14.25">
      <c r="H136" s="1"/>
      <c r="I136"/>
      <c r="J136"/>
    </row>
    <row r="137" spans="8:10" ht="14.25">
      <c r="H137" s="1"/>
      <c r="I137"/>
      <c r="J137"/>
    </row>
    <row r="138" spans="8:10" ht="14.25">
      <c r="H138" s="1"/>
      <c r="I138"/>
      <c r="J138"/>
    </row>
    <row r="139" spans="8:10" ht="14.25">
      <c r="H139" s="1"/>
      <c r="I139"/>
      <c r="J139"/>
    </row>
    <row r="140" spans="8:10" ht="14.25">
      <c r="H140" s="1"/>
      <c r="I140"/>
      <c r="J140"/>
    </row>
    <row r="141" spans="8:10" ht="14.25">
      <c r="H141" s="1"/>
      <c r="I141"/>
      <c r="J141"/>
    </row>
    <row r="142" spans="8:10" ht="14.25">
      <c r="H142" s="1"/>
      <c r="I142"/>
      <c r="J142"/>
    </row>
    <row r="143" spans="8:10" ht="14.25">
      <c r="H143" s="1"/>
      <c r="I143"/>
      <c r="J143"/>
    </row>
    <row r="144" spans="8:10" ht="14.25">
      <c r="H144" s="1"/>
      <c r="I144"/>
      <c r="J144"/>
    </row>
    <row r="145" spans="8:10" ht="14.25">
      <c r="H145" s="1"/>
      <c r="I145"/>
      <c r="J145"/>
    </row>
    <row r="146" spans="8:10" ht="14.25">
      <c r="H146" s="1"/>
      <c r="I146"/>
      <c r="J146"/>
    </row>
    <row r="147" spans="8:10" ht="14.25">
      <c r="H147" s="1"/>
      <c r="I147"/>
      <c r="J147"/>
    </row>
    <row r="148" spans="8:10" ht="14.25">
      <c r="H148" s="1"/>
      <c r="I148"/>
      <c r="J148"/>
    </row>
    <row r="149" ht="14.25">
      <c r="H149" s="1"/>
    </row>
    <row r="150" ht="14.25">
      <c r="H150" s="1"/>
    </row>
    <row r="151" ht="14.25">
      <c r="H151" s="1"/>
    </row>
  </sheetData>
  <mergeCells count="5">
    <mergeCell ref="B92:H92"/>
    <mergeCell ref="A1:H1"/>
    <mergeCell ref="A3:H3"/>
    <mergeCell ref="A68:H68"/>
    <mergeCell ref="A70:H70"/>
  </mergeCells>
  <printOptions/>
  <pageMargins left="0.75" right="0.75" top="1" bottom="1" header="0.5" footer="0.5"/>
  <pageSetup horizontalDpi="600" verticalDpi="600" orientation="portrait" scale="60" r:id="rId1"/>
  <headerFooter alignWithMargins="0">
    <oddFooter>&amp;C&amp;8&amp;D&amp;T&amp;Z&amp;F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="60" workbookViewId="0" topLeftCell="A51">
      <selection activeCell="E90" sqref="E90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12.7109375" style="1" customWidth="1"/>
    <col min="4" max="5" width="12.7109375" style="2" customWidth="1"/>
    <col min="6" max="7" width="12.7109375" style="1" customWidth="1"/>
    <col min="8" max="16384" width="9.140625" style="1" customWidth="1"/>
  </cols>
  <sheetData>
    <row r="1" spans="1:7" ht="18">
      <c r="A1" s="302" t="s">
        <v>41</v>
      </c>
      <c r="B1" s="302"/>
      <c r="C1" s="302"/>
      <c r="D1" s="302"/>
      <c r="E1" s="302"/>
      <c r="F1" s="302"/>
      <c r="G1" s="302"/>
    </row>
    <row r="2" spans="1:6" ht="14.25" customHeight="1">
      <c r="A2" s="17"/>
      <c r="B2" s="18"/>
      <c r="C2" s="18"/>
      <c r="D2" s="18"/>
      <c r="E2" s="18"/>
      <c r="F2" s="18"/>
    </row>
    <row r="3" spans="1:7" ht="18">
      <c r="A3" s="302" t="s">
        <v>33</v>
      </c>
      <c r="B3" s="302"/>
      <c r="C3" s="302"/>
      <c r="D3" s="302"/>
      <c r="E3" s="302"/>
      <c r="F3" s="302"/>
      <c r="G3" s="302"/>
    </row>
    <row r="4" spans="1:6" ht="14.25" customHeight="1">
      <c r="A4" s="17"/>
      <c r="B4" s="17"/>
      <c r="C4" s="17"/>
      <c r="D4" s="17"/>
      <c r="E4" s="17"/>
      <c r="F4" s="17"/>
    </row>
    <row r="5" ht="15" thickBot="1"/>
    <row r="6" spans="2:7" ht="14.25">
      <c r="B6" s="51"/>
      <c r="C6" s="78" t="s">
        <v>0</v>
      </c>
      <c r="D6" s="78" t="s">
        <v>1</v>
      </c>
      <c r="E6" s="78" t="s">
        <v>2</v>
      </c>
      <c r="F6" s="78" t="s">
        <v>37</v>
      </c>
      <c r="G6" s="53" t="s">
        <v>63</v>
      </c>
    </row>
    <row r="7" spans="2:7" ht="14.25">
      <c r="B7" s="54"/>
      <c r="C7" s="3" t="s">
        <v>258</v>
      </c>
      <c r="D7" s="3" t="s">
        <v>260</v>
      </c>
      <c r="E7" s="3" t="s">
        <v>260</v>
      </c>
      <c r="F7" s="3" t="s">
        <v>260</v>
      </c>
      <c r="G7" s="56" t="s">
        <v>260</v>
      </c>
    </row>
    <row r="8" spans="2:7" ht="14.25">
      <c r="B8" s="54" t="s">
        <v>3</v>
      </c>
      <c r="C8" s="3" t="s">
        <v>259</v>
      </c>
      <c r="D8" s="3" t="s">
        <v>261</v>
      </c>
      <c r="E8" s="3" t="s">
        <v>261</v>
      </c>
      <c r="F8" s="3" t="s">
        <v>261</v>
      </c>
      <c r="G8" s="56" t="s">
        <v>261</v>
      </c>
    </row>
    <row r="9" spans="2:7" ht="14.25">
      <c r="B9" s="57"/>
      <c r="C9" s="47" t="s">
        <v>5</v>
      </c>
      <c r="D9" s="47" t="s">
        <v>5</v>
      </c>
      <c r="E9" s="47" t="s">
        <v>5</v>
      </c>
      <c r="F9" s="47" t="s">
        <v>5</v>
      </c>
      <c r="G9" s="58" t="s">
        <v>5</v>
      </c>
    </row>
    <row r="10" spans="2:7" ht="14.25">
      <c r="B10" s="59" t="s">
        <v>6</v>
      </c>
      <c r="C10" s="21"/>
      <c r="D10" s="6"/>
      <c r="E10" s="6"/>
      <c r="F10" s="45"/>
      <c r="G10" s="60"/>
    </row>
    <row r="11" spans="2:7" ht="14.25">
      <c r="B11" s="59" t="s">
        <v>29</v>
      </c>
      <c r="C11" s="21"/>
      <c r="D11" s="6"/>
      <c r="E11" s="6"/>
      <c r="F11" s="6"/>
      <c r="G11" s="60"/>
    </row>
    <row r="12" spans="2:7" ht="14.25">
      <c r="B12" s="61" t="s">
        <v>47</v>
      </c>
      <c r="C12" s="6">
        <v>-7385</v>
      </c>
      <c r="D12" s="6">
        <f>-2187+-3465+-173</f>
        <v>-5825</v>
      </c>
      <c r="E12" s="6">
        <f>-2187+-7535+-154</f>
        <v>-9876</v>
      </c>
      <c r="F12" s="6">
        <f>-2187+-7804+-154</f>
        <v>-10145</v>
      </c>
      <c r="G12" s="60">
        <v>-10500</v>
      </c>
    </row>
    <row r="13" spans="2:7" ht="14.25">
      <c r="B13" s="61" t="s">
        <v>48</v>
      </c>
      <c r="C13" s="6">
        <f>-10880--5129--2492</f>
        <v>-3259</v>
      </c>
      <c r="D13" s="6">
        <v>-2401</v>
      </c>
      <c r="E13" s="6">
        <v>-2520</v>
      </c>
      <c r="F13" s="6">
        <v>-2555</v>
      </c>
      <c r="G13" s="60">
        <v>-2560</v>
      </c>
    </row>
    <row r="14" spans="2:7" ht="14.25">
      <c r="B14" s="61" t="s">
        <v>231</v>
      </c>
      <c r="C14" s="6">
        <v>-2492</v>
      </c>
      <c r="D14" s="6">
        <v>-2625</v>
      </c>
      <c r="E14" s="6">
        <v>-3290</v>
      </c>
      <c r="F14" s="6">
        <v>-3458</v>
      </c>
      <c r="G14" s="60">
        <v>-3458</v>
      </c>
    </row>
    <row r="15" spans="2:7" ht="14.25">
      <c r="B15" s="62" t="s">
        <v>49</v>
      </c>
      <c r="C15" s="10">
        <v>-5129</v>
      </c>
      <c r="D15" s="10">
        <v>-5000</v>
      </c>
      <c r="E15" s="10">
        <v>-5000</v>
      </c>
      <c r="F15" s="10">
        <v>-5000</v>
      </c>
      <c r="G15" s="63">
        <v>-5000</v>
      </c>
    </row>
    <row r="16" spans="2:7" ht="14.25">
      <c r="B16" s="62" t="s">
        <v>52</v>
      </c>
      <c r="C16" s="10">
        <v>-1247</v>
      </c>
      <c r="D16" s="10">
        <v>-1270</v>
      </c>
      <c r="E16" s="10">
        <f>-1270</f>
        <v>-1270</v>
      </c>
      <c r="F16" s="10">
        <f>-1270</f>
        <v>-1270</v>
      </c>
      <c r="G16" s="63">
        <v>-1270</v>
      </c>
    </row>
    <row r="17" spans="2:7" ht="14.25">
      <c r="B17" s="62" t="s">
        <v>234</v>
      </c>
      <c r="C17" s="10">
        <v>-936</v>
      </c>
      <c r="D17" s="10">
        <v>-7316</v>
      </c>
      <c r="E17" s="10">
        <v>0</v>
      </c>
      <c r="F17" s="10">
        <v>0</v>
      </c>
      <c r="G17" s="63">
        <v>0</v>
      </c>
    </row>
    <row r="18" spans="2:7" ht="14.25">
      <c r="B18" s="62" t="s">
        <v>186</v>
      </c>
      <c r="C18" s="10">
        <f>-5055--1105--200</f>
        <v>-3750</v>
      </c>
      <c r="D18" s="6">
        <f>-4400--200--1700</f>
        <v>-2500</v>
      </c>
      <c r="E18" s="6">
        <f>-1950--200</f>
        <v>-1750</v>
      </c>
      <c r="F18" s="6">
        <f>-1950--200</f>
        <v>-1750</v>
      </c>
      <c r="G18" s="60">
        <f>-1950--200</f>
        <v>-1750</v>
      </c>
    </row>
    <row r="19" spans="2:7" ht="14.25">
      <c r="B19" s="62" t="s">
        <v>187</v>
      </c>
      <c r="C19" s="10">
        <v>-200</v>
      </c>
      <c r="D19" s="6">
        <v>-200</v>
      </c>
      <c r="E19" s="6">
        <v>-200</v>
      </c>
      <c r="F19" s="6">
        <v>-200</v>
      </c>
      <c r="G19" s="60">
        <v>-200</v>
      </c>
    </row>
    <row r="20" spans="2:7" ht="14.25">
      <c r="B20" s="62" t="s">
        <v>188</v>
      </c>
      <c r="C20" s="10">
        <v>-1105</v>
      </c>
      <c r="D20" s="6">
        <v>-1700</v>
      </c>
      <c r="E20" s="6">
        <v>0</v>
      </c>
      <c r="F20" s="6">
        <v>0</v>
      </c>
      <c r="G20" s="60">
        <v>0</v>
      </c>
    </row>
    <row r="21" spans="2:7" ht="14.25">
      <c r="B21" s="61" t="s">
        <v>7</v>
      </c>
      <c r="C21" s="6">
        <v>0</v>
      </c>
      <c r="D21" s="6">
        <v>-300</v>
      </c>
      <c r="E21" s="6">
        <v>0</v>
      </c>
      <c r="F21" s="6">
        <v>0</v>
      </c>
      <c r="G21" s="60">
        <v>0</v>
      </c>
    </row>
    <row r="22" spans="2:7" ht="14.25">
      <c r="B22" s="61" t="s">
        <v>60</v>
      </c>
      <c r="C22" s="6">
        <f>-1600+-2019</f>
        <v>-3619</v>
      </c>
      <c r="D22" s="6">
        <v>-1401</v>
      </c>
      <c r="E22" s="6">
        <v>0</v>
      </c>
      <c r="F22" s="6">
        <v>0</v>
      </c>
      <c r="G22" s="60">
        <v>0</v>
      </c>
    </row>
    <row r="23" spans="2:7" ht="14.25">
      <c r="B23" s="62" t="s">
        <v>61</v>
      </c>
      <c r="C23" s="10">
        <v>-200</v>
      </c>
      <c r="D23" s="6">
        <v>-200</v>
      </c>
      <c r="E23" s="6">
        <v>0</v>
      </c>
      <c r="F23" s="6">
        <v>0</v>
      </c>
      <c r="G23" s="60">
        <v>0</v>
      </c>
    </row>
    <row r="24" spans="2:7" ht="14.25">
      <c r="B24" s="62" t="s">
        <v>43</v>
      </c>
      <c r="C24" s="10">
        <f>-18051+-3632+2006</f>
        <v>-19677</v>
      </c>
      <c r="D24" s="6">
        <v>-6112</v>
      </c>
      <c r="E24" s="6">
        <v>0</v>
      </c>
      <c r="F24" s="6">
        <v>0</v>
      </c>
      <c r="G24" s="60">
        <v>0</v>
      </c>
    </row>
    <row r="25" spans="2:7" ht="14.25">
      <c r="B25" s="62" t="s">
        <v>64</v>
      </c>
      <c r="C25" s="10">
        <v>-20</v>
      </c>
      <c r="D25" s="6">
        <v>0</v>
      </c>
      <c r="E25" s="6">
        <v>0</v>
      </c>
      <c r="F25" s="6">
        <v>0</v>
      </c>
      <c r="G25" s="60">
        <v>0</v>
      </c>
    </row>
    <row r="26" spans="2:7" ht="14.25">
      <c r="B26" s="59" t="s">
        <v>44</v>
      </c>
      <c r="C26" s="6">
        <f>-14259--417</f>
        <v>-13842</v>
      </c>
      <c r="D26" s="6">
        <f>-14627+1700</f>
        <v>-12927</v>
      </c>
      <c r="E26" s="6">
        <f>-14836+1702</f>
        <v>-13134</v>
      </c>
      <c r="F26" s="6">
        <f>-14000+1700</f>
        <v>-12300</v>
      </c>
      <c r="G26" s="60">
        <v>-3639</v>
      </c>
    </row>
    <row r="27" spans="2:7" ht="14.25">
      <c r="B27" s="59" t="s">
        <v>58</v>
      </c>
      <c r="C27" s="250">
        <f>-180+-50+-187</f>
        <v>-417</v>
      </c>
      <c r="D27" s="251">
        <v>-150</v>
      </c>
      <c r="E27" s="250">
        <v>0</v>
      </c>
      <c r="F27" s="250">
        <v>0</v>
      </c>
      <c r="G27" s="60">
        <v>0</v>
      </c>
    </row>
    <row r="28" spans="2:7" ht="14.25">
      <c r="B28" s="64" t="s">
        <v>9</v>
      </c>
      <c r="C28" s="22">
        <f>SUM(C12:C27)</f>
        <v>-63278</v>
      </c>
      <c r="D28" s="22">
        <f>SUM(D12:D27)</f>
        <v>-49927</v>
      </c>
      <c r="E28" s="22">
        <f>SUM(E12:E27)</f>
        <v>-37040</v>
      </c>
      <c r="F28" s="22">
        <f>SUM(F12:F27)</f>
        <v>-36678</v>
      </c>
      <c r="G28" s="85">
        <f>SUM(G12:G27)</f>
        <v>-28377</v>
      </c>
    </row>
    <row r="29" spans="2:7" ht="14.25">
      <c r="B29" s="59" t="s">
        <v>10</v>
      </c>
      <c r="C29" s="21"/>
      <c r="D29" s="6"/>
      <c r="E29" s="6"/>
      <c r="F29" s="6"/>
      <c r="G29" s="60"/>
    </row>
    <row r="30" spans="2:7" ht="14.25">
      <c r="B30" s="65" t="s">
        <v>11</v>
      </c>
      <c r="C30" s="23"/>
      <c r="D30" s="6"/>
      <c r="E30" s="6"/>
      <c r="F30" s="6"/>
      <c r="G30" s="60"/>
    </row>
    <row r="31" spans="2:7" ht="14.25">
      <c r="B31" s="66" t="s">
        <v>200</v>
      </c>
      <c r="C31" s="24">
        <f>15936-2492</f>
        <v>13444</v>
      </c>
      <c r="D31" s="6">
        <f>12186+765</f>
        <v>12951</v>
      </c>
      <c r="E31" s="6">
        <v>13956</v>
      </c>
      <c r="F31" s="6">
        <v>13190</v>
      </c>
      <c r="G31" s="60">
        <v>3790</v>
      </c>
    </row>
    <row r="32" spans="2:7" ht="14.25">
      <c r="B32" s="66" t="s">
        <v>231</v>
      </c>
      <c r="C32" s="24">
        <v>2492</v>
      </c>
      <c r="D32" s="6">
        <v>2625</v>
      </c>
      <c r="E32" s="6">
        <v>3290</v>
      </c>
      <c r="F32" s="6">
        <v>3458</v>
      </c>
      <c r="G32" s="60">
        <v>3458</v>
      </c>
    </row>
    <row r="33" spans="2:7" ht="14.25">
      <c r="B33" s="67" t="s">
        <v>12</v>
      </c>
      <c r="C33" s="8">
        <f>SUM(C31:C32)</f>
        <v>15936</v>
      </c>
      <c r="D33" s="8">
        <f>SUM(D31:D32)</f>
        <v>15576</v>
      </c>
      <c r="E33" s="8">
        <f>SUM(E31:E32)</f>
        <v>17246</v>
      </c>
      <c r="F33" s="8">
        <f>SUM(F31:F32)</f>
        <v>16648</v>
      </c>
      <c r="G33" s="68">
        <f>SUM(G31:G32)</f>
        <v>7248</v>
      </c>
    </row>
    <row r="34" spans="2:7" ht="14.25">
      <c r="B34" s="69" t="s">
        <v>13</v>
      </c>
      <c r="C34" s="26"/>
      <c r="D34" s="6"/>
      <c r="E34" s="6"/>
      <c r="F34" s="6"/>
      <c r="G34" s="60"/>
    </row>
    <row r="35" spans="2:7" ht="14.25">
      <c r="B35" s="66" t="s">
        <v>32</v>
      </c>
      <c r="C35" s="24">
        <v>5129</v>
      </c>
      <c r="D35" s="6">
        <v>5000</v>
      </c>
      <c r="E35" s="6">
        <v>5000</v>
      </c>
      <c r="F35" s="6">
        <v>5000</v>
      </c>
      <c r="G35" s="60">
        <v>5000</v>
      </c>
    </row>
    <row r="36" spans="2:7" ht="14.25">
      <c r="B36" s="66" t="s">
        <v>200</v>
      </c>
      <c r="C36" s="24">
        <f>15136-5129+936</f>
        <v>10943</v>
      </c>
      <c r="D36" s="6">
        <f>650+4570+55+1620-915+515+7316</f>
        <v>13811</v>
      </c>
      <c r="E36" s="6">
        <f>325+4295+25</f>
        <v>4645</v>
      </c>
      <c r="F36" s="6">
        <v>4188</v>
      </c>
      <c r="G36" s="60">
        <v>4200</v>
      </c>
    </row>
    <row r="37" spans="2:7" ht="14.25">
      <c r="B37" s="66" t="s">
        <v>55</v>
      </c>
      <c r="C37" s="24">
        <v>0</v>
      </c>
      <c r="D37" s="6">
        <v>200</v>
      </c>
      <c r="E37" s="6">
        <v>400</v>
      </c>
      <c r="F37" s="6">
        <v>400</v>
      </c>
      <c r="G37" s="60">
        <v>400</v>
      </c>
    </row>
    <row r="38" spans="2:7" ht="14.25">
      <c r="B38" s="67" t="s">
        <v>14</v>
      </c>
      <c r="C38" s="8">
        <f>SUM(C35:C37)</f>
        <v>16072</v>
      </c>
      <c r="D38" s="8">
        <f>SUM(D35:D37)</f>
        <v>19011</v>
      </c>
      <c r="E38" s="8">
        <f>SUM(E35:E37)</f>
        <v>10045</v>
      </c>
      <c r="F38" s="8">
        <f>SUM(F35:F37)</f>
        <v>9588</v>
      </c>
      <c r="G38" s="70">
        <f>SUM(G35:G37)</f>
        <v>9600</v>
      </c>
    </row>
    <row r="39" spans="2:7" ht="14.25">
      <c r="B39" s="69" t="s">
        <v>15</v>
      </c>
      <c r="C39" s="26"/>
      <c r="D39" s="6"/>
      <c r="E39" s="6"/>
      <c r="F39" s="6"/>
      <c r="G39" s="60"/>
    </row>
    <row r="40" spans="2:7" ht="14.25">
      <c r="B40" s="66" t="s">
        <v>200</v>
      </c>
      <c r="C40" s="24">
        <v>1157</v>
      </c>
      <c r="D40" s="6">
        <f>2073-150-500-17-250</f>
        <v>1156</v>
      </c>
      <c r="E40" s="6">
        <v>550</v>
      </c>
      <c r="F40" s="6">
        <v>950</v>
      </c>
      <c r="G40" s="60">
        <v>350</v>
      </c>
    </row>
    <row r="41" spans="2:7" ht="14.25">
      <c r="B41" s="67" t="s">
        <v>16</v>
      </c>
      <c r="C41" s="9">
        <f>SUM(C40:C40)</f>
        <v>1157</v>
      </c>
      <c r="D41" s="9">
        <f>SUM(D40:D40)</f>
        <v>1156</v>
      </c>
      <c r="E41" s="9">
        <f>SUM(E40:E40)</f>
        <v>550</v>
      </c>
      <c r="F41" s="9">
        <f>SUM(F40:F40)</f>
        <v>950</v>
      </c>
      <c r="G41" s="74">
        <f>SUM(G40:G40)</f>
        <v>350</v>
      </c>
    </row>
    <row r="42" spans="2:7" ht="14.25">
      <c r="B42" s="69" t="s">
        <v>45</v>
      </c>
      <c r="C42" s="26"/>
      <c r="D42" s="6"/>
      <c r="E42" s="6"/>
      <c r="F42" s="6"/>
      <c r="G42" s="60"/>
    </row>
    <row r="43" spans="2:7" ht="14.25">
      <c r="B43" s="66" t="s">
        <v>28</v>
      </c>
      <c r="C43" s="24">
        <v>5000</v>
      </c>
      <c r="D43" s="6">
        <f>5000+350</f>
        <v>5350</v>
      </c>
      <c r="E43" s="6">
        <v>5000</v>
      </c>
      <c r="F43" s="6">
        <v>5000</v>
      </c>
      <c r="G43" s="60">
        <v>5000</v>
      </c>
    </row>
    <row r="44" spans="2:7" ht="14.25">
      <c r="B44" s="66" t="s">
        <v>17</v>
      </c>
      <c r="C44" s="24">
        <v>3969</v>
      </c>
      <c r="D44" s="6">
        <v>3969</v>
      </c>
      <c r="E44" s="6">
        <v>3969</v>
      </c>
      <c r="F44" s="6">
        <v>3969</v>
      </c>
      <c r="G44" s="60">
        <v>3969</v>
      </c>
    </row>
    <row r="45" spans="2:7" ht="14.25">
      <c r="B45" s="66" t="s">
        <v>65</v>
      </c>
      <c r="C45" s="24">
        <v>221</v>
      </c>
      <c r="D45" s="6">
        <v>0</v>
      </c>
      <c r="E45" s="6">
        <v>0</v>
      </c>
      <c r="F45" s="6">
        <v>0</v>
      </c>
      <c r="G45" s="60">
        <v>0</v>
      </c>
    </row>
    <row r="46" spans="2:7" ht="14.25">
      <c r="B46" s="66" t="s">
        <v>200</v>
      </c>
      <c r="C46" s="24">
        <f>1850+266+300</f>
        <v>2416</v>
      </c>
      <c r="D46" s="6">
        <f>500+300</f>
        <v>800</v>
      </c>
      <c r="E46" s="6">
        <f>300+300</f>
        <v>600</v>
      </c>
      <c r="F46" s="6">
        <v>300</v>
      </c>
      <c r="G46" s="60">
        <v>300</v>
      </c>
    </row>
    <row r="47" spans="2:7" ht="14.25">
      <c r="B47" s="67" t="s">
        <v>19</v>
      </c>
      <c r="C47" s="8">
        <f>SUM(C43:C46)</f>
        <v>11606</v>
      </c>
      <c r="D47" s="8">
        <f>SUM(D43:D46)</f>
        <v>10119</v>
      </c>
      <c r="E47" s="8">
        <f>SUM(E43:E46)</f>
        <v>9569</v>
      </c>
      <c r="F47" s="8">
        <f>SUM(F43:F46)</f>
        <v>9269</v>
      </c>
      <c r="G47" s="70">
        <f>SUM(G43:G46)</f>
        <v>9269</v>
      </c>
    </row>
    <row r="48" spans="2:7" ht="14.25">
      <c r="B48" s="69" t="s">
        <v>20</v>
      </c>
      <c r="C48" s="26"/>
      <c r="D48" s="10"/>
      <c r="E48" s="10"/>
      <c r="F48" s="10"/>
      <c r="G48" s="63"/>
    </row>
    <row r="49" spans="2:7" ht="14.25">
      <c r="B49" s="66" t="s">
        <v>200</v>
      </c>
      <c r="C49" s="24">
        <v>4071</v>
      </c>
      <c r="D49" s="6">
        <f>1172-62</f>
        <v>1110</v>
      </c>
      <c r="E49" s="6">
        <v>755</v>
      </c>
      <c r="F49" s="6">
        <v>825</v>
      </c>
      <c r="G49" s="60">
        <v>530</v>
      </c>
    </row>
    <row r="50" spans="2:7" ht="14.25">
      <c r="B50" s="66" t="s">
        <v>59</v>
      </c>
      <c r="C50" s="24">
        <v>0</v>
      </c>
      <c r="D50" s="10">
        <v>150</v>
      </c>
      <c r="E50" s="6">
        <v>0</v>
      </c>
      <c r="F50" s="6">
        <v>0</v>
      </c>
      <c r="G50" s="60">
        <v>0</v>
      </c>
    </row>
    <row r="51" spans="2:7" ht="14.25">
      <c r="B51" s="67" t="s">
        <v>21</v>
      </c>
      <c r="C51" s="8">
        <f>SUM(C49:C50)</f>
        <v>4071</v>
      </c>
      <c r="D51" s="8">
        <f>SUM(D49:D50)</f>
        <v>1260</v>
      </c>
      <c r="E51" s="8">
        <f>SUM(E49:E50)</f>
        <v>755</v>
      </c>
      <c r="F51" s="8">
        <f>SUM(F49:F50)</f>
        <v>825</v>
      </c>
      <c r="G51" s="70">
        <f>SUM(G49:G50)</f>
        <v>530</v>
      </c>
    </row>
    <row r="52" spans="2:7" ht="14.25">
      <c r="B52" s="71" t="s">
        <v>22</v>
      </c>
      <c r="C52" s="8">
        <f>C51+C47+C41+C38+C33</f>
        <v>48842</v>
      </c>
      <c r="D52" s="8">
        <f>D51+D47+D41+D38+D33</f>
        <v>47122</v>
      </c>
      <c r="E52" s="8">
        <f>E51+E47+E41+E38+E33</f>
        <v>38165</v>
      </c>
      <c r="F52" s="8">
        <f>F51+F47+F41+F38+F33</f>
        <v>37280</v>
      </c>
      <c r="G52" s="70">
        <f>G51+G47+G41+G38+G33</f>
        <v>26997</v>
      </c>
    </row>
    <row r="53" spans="2:7" ht="14.25">
      <c r="B53" s="72" t="s">
        <v>23</v>
      </c>
      <c r="C53" s="28"/>
      <c r="D53" s="46"/>
      <c r="E53" s="46"/>
      <c r="F53" s="46"/>
      <c r="G53" s="63"/>
    </row>
    <row r="54" spans="2:7" ht="14.25">
      <c r="B54" s="66" t="s">
        <v>262</v>
      </c>
      <c r="C54" s="24">
        <v>300</v>
      </c>
      <c r="D54" s="6">
        <v>300</v>
      </c>
      <c r="E54" s="6">
        <v>300</v>
      </c>
      <c r="F54" s="6">
        <v>300</v>
      </c>
      <c r="G54" s="60">
        <v>300</v>
      </c>
    </row>
    <row r="55" spans="2:7" ht="14.25">
      <c r="B55" s="66" t="s">
        <v>66</v>
      </c>
      <c r="C55" s="24">
        <v>850</v>
      </c>
      <c r="D55" s="6">
        <v>0</v>
      </c>
      <c r="E55" s="6">
        <v>0</v>
      </c>
      <c r="F55" s="6">
        <v>0</v>
      </c>
      <c r="G55" s="60">
        <v>0</v>
      </c>
    </row>
    <row r="56" spans="2:7" ht="14.25">
      <c r="B56" s="66" t="s">
        <v>25</v>
      </c>
      <c r="C56" s="24">
        <v>659</v>
      </c>
      <c r="D56" s="6">
        <v>659</v>
      </c>
      <c r="E56" s="6">
        <v>0</v>
      </c>
      <c r="F56" s="6">
        <v>0</v>
      </c>
      <c r="G56" s="60">
        <v>0</v>
      </c>
    </row>
    <row r="57" spans="2:7" ht="14.25">
      <c r="B57" s="66" t="s">
        <v>67</v>
      </c>
      <c r="C57" s="24">
        <v>140</v>
      </c>
      <c r="D57" s="6">
        <v>0</v>
      </c>
      <c r="E57" s="6">
        <v>0</v>
      </c>
      <c r="F57" s="6">
        <v>0</v>
      </c>
      <c r="G57" s="60">
        <v>0</v>
      </c>
    </row>
    <row r="58" spans="2:7" ht="14.25">
      <c r="B58" s="66" t="s">
        <v>68</v>
      </c>
      <c r="C58" s="24">
        <v>42</v>
      </c>
      <c r="D58" s="6">
        <v>0</v>
      </c>
      <c r="E58" s="6">
        <v>0</v>
      </c>
      <c r="F58" s="6">
        <v>0</v>
      </c>
      <c r="G58" s="60">
        <v>0</v>
      </c>
    </row>
    <row r="59" spans="2:7" ht="14.25">
      <c r="B59" s="66" t="s">
        <v>69</v>
      </c>
      <c r="C59" s="24">
        <v>250</v>
      </c>
      <c r="D59" s="6">
        <v>0</v>
      </c>
      <c r="E59" s="6">
        <v>0</v>
      </c>
      <c r="F59" s="6">
        <v>0</v>
      </c>
      <c r="G59" s="60">
        <v>0</v>
      </c>
    </row>
    <row r="60" spans="2:7" ht="14.25">
      <c r="B60" s="66" t="s">
        <v>70</v>
      </c>
      <c r="C60" s="24">
        <v>700</v>
      </c>
      <c r="D60" s="6">
        <v>0</v>
      </c>
      <c r="E60" s="6">
        <v>0</v>
      </c>
      <c r="F60" s="6">
        <v>0</v>
      </c>
      <c r="G60" s="60">
        <v>0</v>
      </c>
    </row>
    <row r="61" spans="2:7" ht="14.25">
      <c r="B61" s="66" t="s">
        <v>38</v>
      </c>
      <c r="C61" s="24">
        <f>708+4292+1400-1017</f>
        <v>5383</v>
      </c>
      <c r="D61" s="6">
        <v>766</v>
      </c>
      <c r="E61" s="6">
        <v>0</v>
      </c>
      <c r="F61" s="6">
        <v>0</v>
      </c>
      <c r="G61" s="60">
        <v>0</v>
      </c>
    </row>
    <row r="62" spans="2:7" ht="14.25">
      <c r="B62" s="66" t="s">
        <v>62</v>
      </c>
      <c r="C62" s="24">
        <v>0</v>
      </c>
      <c r="D62" s="6">
        <v>80</v>
      </c>
      <c r="E62" s="6">
        <v>80</v>
      </c>
      <c r="F62" s="6">
        <v>80</v>
      </c>
      <c r="G62" s="60">
        <v>80</v>
      </c>
    </row>
    <row r="63" spans="2:7" ht="14.25">
      <c r="B63" s="112" t="s">
        <v>46</v>
      </c>
      <c r="C63" s="24">
        <v>0</v>
      </c>
      <c r="D63" s="6">
        <v>1000</v>
      </c>
      <c r="E63" s="6">
        <v>1000</v>
      </c>
      <c r="F63" s="6">
        <v>1000</v>
      </c>
      <c r="G63" s="60">
        <v>1000</v>
      </c>
    </row>
    <row r="64" spans="2:7" ht="14.25">
      <c r="B64" s="64" t="s">
        <v>35</v>
      </c>
      <c r="C64" s="9">
        <f>SUM(C54:C63)</f>
        <v>8324</v>
      </c>
      <c r="D64" s="9">
        <f>SUM(D54:D63)</f>
        <v>2805</v>
      </c>
      <c r="E64" s="9">
        <f>SUM(E54:E63)</f>
        <v>1380</v>
      </c>
      <c r="F64" s="9">
        <f>SUM(F54:F63)</f>
        <v>1380</v>
      </c>
      <c r="G64" s="74">
        <f>SUM(G54:G63)</f>
        <v>1380</v>
      </c>
    </row>
    <row r="65" spans="2:7" ht="14.25">
      <c r="B65" s="109" t="s">
        <v>26</v>
      </c>
      <c r="C65" s="110">
        <f>C64+C52</f>
        <v>57166</v>
      </c>
      <c r="D65" s="110">
        <f>D64+D52</f>
        <v>49927</v>
      </c>
      <c r="E65" s="110">
        <f>E64+E52</f>
        <v>39545</v>
      </c>
      <c r="F65" s="110">
        <f>F64+F52</f>
        <v>38660</v>
      </c>
      <c r="G65" s="111">
        <f>G64+G52</f>
        <v>28377</v>
      </c>
    </row>
    <row r="66" spans="2:7" ht="14.25">
      <c r="B66" s="109" t="s">
        <v>183</v>
      </c>
      <c r="C66" s="9">
        <f>C65+C28</f>
        <v>-6112</v>
      </c>
      <c r="D66" s="9">
        <f>D65+D28</f>
        <v>0</v>
      </c>
      <c r="E66" s="110">
        <v>0</v>
      </c>
      <c r="F66" s="110">
        <v>0</v>
      </c>
      <c r="G66" s="111">
        <v>0</v>
      </c>
    </row>
    <row r="67" spans="2:7" ht="15" thickBot="1">
      <c r="B67" s="75" t="s">
        <v>184</v>
      </c>
      <c r="C67" s="262">
        <v>0</v>
      </c>
      <c r="D67" s="77">
        <f>D65+D28</f>
        <v>0</v>
      </c>
      <c r="E67" s="77">
        <f>E65+E28</f>
        <v>2505</v>
      </c>
      <c r="F67" s="77">
        <f>F65+F28</f>
        <v>1982</v>
      </c>
      <c r="G67" s="216">
        <f>G65+G28</f>
        <v>0</v>
      </c>
    </row>
    <row r="68" spans="2:7" ht="14.25">
      <c r="B68" s="13"/>
      <c r="C68" s="13"/>
      <c r="D68" s="13"/>
      <c r="E68" s="13"/>
      <c r="F68" s="13"/>
      <c r="G68" s="13"/>
    </row>
    <row r="69" spans="2:7" ht="14.25">
      <c r="B69" s="13"/>
      <c r="C69" s="13"/>
      <c r="D69" s="13"/>
      <c r="E69" s="13"/>
      <c r="F69" s="13"/>
      <c r="G69" s="13"/>
    </row>
    <row r="70" spans="1:6" ht="14.25">
      <c r="A70"/>
      <c r="B70"/>
      <c r="C70"/>
      <c r="D70"/>
      <c r="E70"/>
      <c r="F70"/>
    </row>
    <row r="71" spans="1:7" ht="18">
      <c r="A71" s="302" t="s">
        <v>41</v>
      </c>
      <c r="B71" s="302"/>
      <c r="C71" s="302"/>
      <c r="D71" s="302"/>
      <c r="E71" s="302"/>
      <c r="F71" s="302"/>
      <c r="G71" s="302"/>
    </row>
    <row r="72" spans="1:6" ht="14.25">
      <c r="A72"/>
      <c r="B72"/>
      <c r="C72"/>
      <c r="D72"/>
      <c r="E72"/>
      <c r="F72"/>
    </row>
    <row r="73" spans="1:7" ht="18">
      <c r="A73" s="302" t="s">
        <v>34</v>
      </c>
      <c r="B73" s="302"/>
      <c r="C73" s="302"/>
      <c r="D73" s="302"/>
      <c r="E73" s="302"/>
      <c r="F73" s="302"/>
      <c r="G73" s="302"/>
    </row>
    <row r="74" ht="15" thickBot="1"/>
    <row r="75" spans="2:7" ht="14.25">
      <c r="B75" s="51"/>
      <c r="C75" s="78" t="s">
        <v>0</v>
      </c>
      <c r="D75" s="78" t="s">
        <v>1</v>
      </c>
      <c r="E75" s="78" t="s">
        <v>2</v>
      </c>
      <c r="F75" s="78" t="s">
        <v>37</v>
      </c>
      <c r="G75" s="53" t="s">
        <v>63</v>
      </c>
    </row>
    <row r="76" spans="2:7" ht="14.25">
      <c r="B76" s="54" t="s">
        <v>3</v>
      </c>
      <c r="C76" s="3" t="s">
        <v>258</v>
      </c>
      <c r="D76" s="3" t="s">
        <v>260</v>
      </c>
      <c r="E76" s="3" t="s">
        <v>260</v>
      </c>
      <c r="F76" s="3" t="s">
        <v>260</v>
      </c>
      <c r="G76" s="56" t="s">
        <v>260</v>
      </c>
    </row>
    <row r="77" spans="2:7" ht="14.25">
      <c r="B77" s="54"/>
      <c r="C77" s="3" t="s">
        <v>259</v>
      </c>
      <c r="D77" s="3" t="s">
        <v>261</v>
      </c>
      <c r="E77" s="3" t="s">
        <v>261</v>
      </c>
      <c r="F77" s="3" t="s">
        <v>261</v>
      </c>
      <c r="G77" s="56" t="s">
        <v>261</v>
      </c>
    </row>
    <row r="78" spans="2:7" ht="14.25">
      <c r="B78" s="57"/>
      <c r="C78" s="47" t="s">
        <v>5</v>
      </c>
      <c r="D78" s="47" t="s">
        <v>5</v>
      </c>
      <c r="E78" s="47" t="s">
        <v>5</v>
      </c>
      <c r="F78" s="47" t="s">
        <v>5</v>
      </c>
      <c r="G78" s="58" t="s">
        <v>5</v>
      </c>
    </row>
    <row r="79" spans="2:7" ht="14.25">
      <c r="B79" s="59" t="s">
        <v>39</v>
      </c>
      <c r="C79" s="41"/>
      <c r="D79" s="19"/>
      <c r="E79" s="19"/>
      <c r="F79" s="19"/>
      <c r="G79" s="84"/>
    </row>
    <row r="80" spans="2:7" ht="14.25">
      <c r="B80" s="59" t="s">
        <v>30</v>
      </c>
      <c r="C80" s="41"/>
      <c r="D80" s="7"/>
      <c r="E80" s="7"/>
      <c r="F80" s="7"/>
      <c r="G80" s="60"/>
    </row>
    <row r="81" spans="2:7" ht="14.25">
      <c r="B81" s="61" t="s">
        <v>47</v>
      </c>
      <c r="C81" s="7">
        <v>-5264</v>
      </c>
      <c r="D81" s="7">
        <v>-6224</v>
      </c>
      <c r="E81" s="7">
        <v>-16624</v>
      </c>
      <c r="F81" s="7">
        <v>-6224</v>
      </c>
      <c r="G81" s="60">
        <v>-6224</v>
      </c>
    </row>
    <row r="82" spans="2:7" ht="14.25">
      <c r="B82" s="61" t="s">
        <v>50</v>
      </c>
      <c r="C82" s="7">
        <v>-22500</v>
      </c>
      <c r="D82" s="7">
        <v>-11250</v>
      </c>
      <c r="E82" s="7">
        <v>0</v>
      </c>
      <c r="F82" s="7">
        <v>0</v>
      </c>
      <c r="G82" s="60">
        <v>0</v>
      </c>
    </row>
    <row r="83" spans="2:7" ht="14.25">
      <c r="B83" s="61" t="s">
        <v>51</v>
      </c>
      <c r="C83" s="7">
        <v>0</v>
      </c>
      <c r="D83" s="7">
        <v>-8997</v>
      </c>
      <c r="E83" s="7">
        <v>0</v>
      </c>
      <c r="F83" s="7">
        <v>0</v>
      </c>
      <c r="G83" s="60">
        <v>0</v>
      </c>
    </row>
    <row r="84" spans="2:7" ht="14.25">
      <c r="B84" s="61" t="s">
        <v>54</v>
      </c>
      <c r="C84" s="7">
        <v>0</v>
      </c>
      <c r="D84" s="7">
        <v>-14000</v>
      </c>
      <c r="E84" s="7">
        <v>0</v>
      </c>
      <c r="F84" s="7">
        <v>0</v>
      </c>
      <c r="G84" s="60">
        <v>0</v>
      </c>
    </row>
    <row r="85" spans="2:7" ht="14.25">
      <c r="B85" s="59" t="s">
        <v>31</v>
      </c>
      <c r="C85" s="7">
        <v>0</v>
      </c>
      <c r="D85" s="7">
        <v>0</v>
      </c>
      <c r="E85" s="6">
        <v>0</v>
      </c>
      <c r="F85" s="6">
        <v>0</v>
      </c>
      <c r="G85" s="60">
        <v>0</v>
      </c>
    </row>
    <row r="86" spans="2:7" ht="14.25">
      <c r="B86" s="73" t="s">
        <v>9</v>
      </c>
      <c r="C86" s="29">
        <f>SUM(C81:C85)</f>
        <v>-27764</v>
      </c>
      <c r="D86" s="29">
        <f>SUM(D81:D85)</f>
        <v>-40471</v>
      </c>
      <c r="E86" s="29">
        <f>SUM(E81:E85)</f>
        <v>-16624</v>
      </c>
      <c r="F86" s="29">
        <f>SUM(F81:F85)</f>
        <v>-6224</v>
      </c>
      <c r="G86" s="85">
        <f>SUM(G81:G85)</f>
        <v>-6224</v>
      </c>
    </row>
    <row r="87" spans="2:7" ht="14.25">
      <c r="B87" s="59" t="s">
        <v>10</v>
      </c>
      <c r="C87" s="41"/>
      <c r="D87" s="7"/>
      <c r="E87" s="7"/>
      <c r="F87" s="7"/>
      <c r="G87" s="60"/>
    </row>
    <row r="88" spans="2:7" ht="14.25">
      <c r="B88" s="65" t="s">
        <v>34</v>
      </c>
      <c r="C88" s="42"/>
      <c r="D88" s="7"/>
      <c r="E88" s="7"/>
      <c r="F88" s="7"/>
      <c r="G88" s="60"/>
    </row>
    <row r="89" spans="2:7" ht="14.25">
      <c r="B89" s="86" t="s">
        <v>18</v>
      </c>
      <c r="C89" s="44">
        <v>27764</v>
      </c>
      <c r="D89" s="7">
        <f>26471+14000</f>
        <v>40471</v>
      </c>
      <c r="E89" s="6">
        <v>16624</v>
      </c>
      <c r="F89" s="6">
        <v>6224</v>
      </c>
      <c r="G89" s="60">
        <v>6224</v>
      </c>
    </row>
    <row r="90" spans="2:7" ht="14.25">
      <c r="B90" s="86" t="s">
        <v>53</v>
      </c>
      <c r="C90" s="44">
        <v>0</v>
      </c>
      <c r="D90" s="7">
        <v>0</v>
      </c>
      <c r="E90" s="6">
        <v>0</v>
      </c>
      <c r="F90" s="6">
        <v>0</v>
      </c>
      <c r="G90" s="60">
        <v>0</v>
      </c>
    </row>
    <row r="91" spans="2:7" ht="14.25">
      <c r="B91" s="73" t="s">
        <v>40</v>
      </c>
      <c r="C91" s="16">
        <f>SUM(C89:C90)</f>
        <v>27764</v>
      </c>
      <c r="D91" s="16">
        <f>SUM(D89:D90)</f>
        <v>40471</v>
      </c>
      <c r="E91" s="16">
        <f>SUM(E89:E90)</f>
        <v>16624</v>
      </c>
      <c r="F91" s="16">
        <f>SUM(F89:F90)</f>
        <v>6224</v>
      </c>
      <c r="G91" s="70">
        <f>SUM(G89:G90)</f>
        <v>6224</v>
      </c>
    </row>
    <row r="92" spans="2:7" ht="15" thickBot="1">
      <c r="B92" s="75" t="s">
        <v>27</v>
      </c>
      <c r="C92" s="76">
        <f>C91+C86</f>
        <v>0</v>
      </c>
      <c r="D92" s="76">
        <f>D91+D86</f>
        <v>0</v>
      </c>
      <c r="E92" s="77">
        <f>E91+E86</f>
        <v>0</v>
      </c>
      <c r="F92" s="77">
        <f>F91+F86</f>
        <v>0</v>
      </c>
      <c r="G92" s="87">
        <f>G91+G86</f>
        <v>0</v>
      </c>
    </row>
    <row r="94" spans="2:7" ht="14.25" customHeight="1">
      <c r="B94" s="12"/>
      <c r="C94" s="12"/>
      <c r="D94" s="13"/>
      <c r="E94" s="13"/>
      <c r="F94" s="13"/>
      <c r="G94" s="30"/>
    </row>
    <row r="95" spans="1:7" ht="18">
      <c r="A95" s="302" t="s">
        <v>41</v>
      </c>
      <c r="B95" s="302"/>
      <c r="C95" s="302"/>
      <c r="D95" s="302"/>
      <c r="E95" s="302"/>
      <c r="F95" s="302"/>
      <c r="G95" s="302"/>
    </row>
    <row r="96" spans="1:6" ht="14.25">
      <c r="A96"/>
      <c r="B96"/>
      <c r="C96"/>
      <c r="D96"/>
      <c r="E96"/>
      <c r="F96"/>
    </row>
    <row r="97" spans="1:7" ht="18">
      <c r="A97" s="302" t="s">
        <v>158</v>
      </c>
      <c r="B97" s="302"/>
      <c r="C97" s="302"/>
      <c r="D97" s="302"/>
      <c r="E97" s="302"/>
      <c r="F97" s="302"/>
      <c r="G97" s="302"/>
    </row>
    <row r="98" spans="1:6" ht="14.25" customHeight="1" thickBot="1">
      <c r="A98" s="33"/>
      <c r="B98" s="34"/>
      <c r="C98" s="34"/>
      <c r="D98" s="34"/>
      <c r="E98" s="34"/>
      <c r="F98" s="34"/>
    </row>
    <row r="99" spans="2:7" ht="30" customHeight="1">
      <c r="B99" s="51"/>
      <c r="C99" s="78" t="s">
        <v>0</v>
      </c>
      <c r="D99" s="78" t="s">
        <v>1</v>
      </c>
      <c r="E99" s="78" t="s">
        <v>2</v>
      </c>
      <c r="F99" s="78" t="s">
        <v>37</v>
      </c>
      <c r="G99" s="53" t="s">
        <v>63</v>
      </c>
    </row>
    <row r="100" spans="2:9" ht="14.25">
      <c r="B100" s="54" t="s">
        <v>3</v>
      </c>
      <c r="C100" s="3" t="s">
        <v>258</v>
      </c>
      <c r="D100" s="3" t="s">
        <v>260</v>
      </c>
      <c r="E100" s="3" t="s">
        <v>260</v>
      </c>
      <c r="F100" s="3" t="s">
        <v>260</v>
      </c>
      <c r="G100" s="56" t="s">
        <v>260</v>
      </c>
      <c r="H100"/>
      <c r="I100"/>
    </row>
    <row r="101" spans="2:9" ht="14.25">
      <c r="B101" s="54"/>
      <c r="C101" s="3" t="s">
        <v>259</v>
      </c>
      <c r="D101" s="3" t="s">
        <v>261</v>
      </c>
      <c r="E101" s="3" t="s">
        <v>261</v>
      </c>
      <c r="F101" s="3" t="s">
        <v>261</v>
      </c>
      <c r="G101" s="56" t="s">
        <v>261</v>
      </c>
      <c r="H101" s="35"/>
      <c r="I101"/>
    </row>
    <row r="102" spans="2:9" ht="14.25">
      <c r="B102" s="57"/>
      <c r="C102" s="47" t="s">
        <v>5</v>
      </c>
      <c r="D102" s="47" t="s">
        <v>5</v>
      </c>
      <c r="E102" s="47" t="s">
        <v>5</v>
      </c>
      <c r="F102" s="47" t="s">
        <v>5</v>
      </c>
      <c r="G102" s="58" t="s">
        <v>5</v>
      </c>
      <c r="H102" s="36"/>
      <c r="I102"/>
    </row>
    <row r="103" spans="2:9" ht="14.25">
      <c r="B103" s="59" t="s">
        <v>39</v>
      </c>
      <c r="C103" s="41"/>
      <c r="D103" s="19"/>
      <c r="E103" s="19"/>
      <c r="F103" s="19"/>
      <c r="G103" s="84"/>
      <c r="H103" s="20"/>
      <c r="I103"/>
    </row>
    <row r="104" spans="2:9" ht="14.25">
      <c r="B104" s="61" t="s">
        <v>33</v>
      </c>
      <c r="C104" s="7">
        <f>C28</f>
        <v>-63278</v>
      </c>
      <c r="D104" s="7">
        <f>D28</f>
        <v>-49927</v>
      </c>
      <c r="E104" s="7">
        <f>E28</f>
        <v>-37040</v>
      </c>
      <c r="F104" s="6">
        <f>F28</f>
        <v>-36678</v>
      </c>
      <c r="G104" s="60">
        <f>G28</f>
        <v>-28377</v>
      </c>
      <c r="H104" s="20"/>
      <c r="I104"/>
    </row>
    <row r="105" spans="2:9" ht="14.25">
      <c r="B105" s="61" t="s">
        <v>34</v>
      </c>
      <c r="C105" s="7">
        <f>C86</f>
        <v>-27764</v>
      </c>
      <c r="D105" s="7">
        <f>D86</f>
        <v>-40471</v>
      </c>
      <c r="E105" s="7">
        <f>E86</f>
        <v>-16624</v>
      </c>
      <c r="F105" s="6">
        <f>F86</f>
        <v>-6224</v>
      </c>
      <c r="G105" s="60">
        <f>G86</f>
        <v>-6224</v>
      </c>
      <c r="H105" s="20"/>
      <c r="I105"/>
    </row>
    <row r="106" spans="2:9" ht="14.25">
      <c r="B106" s="73" t="s">
        <v>9</v>
      </c>
      <c r="C106" s="29">
        <f>SUM(C104:C105)</f>
        <v>-91042</v>
      </c>
      <c r="D106" s="29">
        <f>SUM(D104:D105)</f>
        <v>-90398</v>
      </c>
      <c r="E106" s="29">
        <f>SUM(E104:E105)</f>
        <v>-53664</v>
      </c>
      <c r="F106" s="224">
        <f>SUM(F104:F105)</f>
        <v>-42902</v>
      </c>
      <c r="G106" s="85">
        <f>SUM(G104:G105)</f>
        <v>-34601</v>
      </c>
      <c r="H106" s="37"/>
      <c r="I106"/>
    </row>
    <row r="107" spans="2:9" ht="14.25">
      <c r="B107" s="59" t="s">
        <v>10</v>
      </c>
      <c r="C107" s="41"/>
      <c r="D107" s="7"/>
      <c r="E107" s="7"/>
      <c r="F107" s="6"/>
      <c r="G107" s="60"/>
      <c r="H107" s="37"/>
      <c r="I107"/>
    </row>
    <row r="108" spans="2:9" ht="14.25">
      <c r="B108" s="61" t="s">
        <v>33</v>
      </c>
      <c r="C108" s="44">
        <f>C65</f>
        <v>57166</v>
      </c>
      <c r="D108" s="44">
        <f>D65</f>
        <v>49927</v>
      </c>
      <c r="E108" s="44">
        <f>E65</f>
        <v>39545</v>
      </c>
      <c r="F108" s="225">
        <f>F65</f>
        <v>38660</v>
      </c>
      <c r="G108" s="223">
        <f>G65</f>
        <v>28377</v>
      </c>
      <c r="H108" s="37"/>
      <c r="I108"/>
    </row>
    <row r="109" spans="2:9" ht="14.25">
      <c r="B109" s="61" t="s">
        <v>34</v>
      </c>
      <c r="C109" s="44">
        <f>C91</f>
        <v>27764</v>
      </c>
      <c r="D109" s="44">
        <f>D91</f>
        <v>40471</v>
      </c>
      <c r="E109" s="44">
        <f>E91</f>
        <v>16624</v>
      </c>
      <c r="F109" s="226">
        <f>F91</f>
        <v>6224</v>
      </c>
      <c r="G109" s="228">
        <f>G91</f>
        <v>6224</v>
      </c>
      <c r="H109" s="37"/>
      <c r="I109"/>
    </row>
    <row r="110" spans="2:9" ht="14.25">
      <c r="B110" s="73" t="s">
        <v>40</v>
      </c>
      <c r="C110" s="16">
        <f>SUM(C108:C109)</f>
        <v>84930</v>
      </c>
      <c r="D110" s="16">
        <f>SUM(D108:D109)</f>
        <v>90398</v>
      </c>
      <c r="E110" s="16">
        <f>SUM(E108:E109)</f>
        <v>56169</v>
      </c>
      <c r="F110" s="16">
        <f>SUM(F108:F109)</f>
        <v>44884</v>
      </c>
      <c r="G110" s="227">
        <f>SUM(G108:G109)</f>
        <v>34601</v>
      </c>
      <c r="H110" s="37"/>
      <c r="I110"/>
    </row>
    <row r="111" spans="2:9" ht="14.25">
      <c r="B111" s="109" t="s">
        <v>183</v>
      </c>
      <c r="C111" s="9">
        <f>C110+C106</f>
        <v>-6112</v>
      </c>
      <c r="D111" s="27">
        <f>D110+D106</f>
        <v>0</v>
      </c>
      <c r="E111" s="27">
        <v>0</v>
      </c>
      <c r="F111" s="27">
        <v>0</v>
      </c>
      <c r="G111" s="74">
        <f>G110+G106</f>
        <v>0</v>
      </c>
      <c r="H111" s="37"/>
      <c r="I111"/>
    </row>
    <row r="112" spans="2:9" ht="15" thickBot="1">
      <c r="B112" s="75" t="s">
        <v>184</v>
      </c>
      <c r="C112" s="262">
        <v>0</v>
      </c>
      <c r="D112" s="263">
        <f>D110+D106</f>
        <v>0</v>
      </c>
      <c r="E112" s="263">
        <f>E110+E106</f>
        <v>2505</v>
      </c>
      <c r="F112" s="263">
        <f>F110+F106</f>
        <v>1982</v>
      </c>
      <c r="G112" s="264">
        <f>G110+G106</f>
        <v>0</v>
      </c>
      <c r="H112" s="37" t="s">
        <v>257</v>
      </c>
      <c r="I112"/>
    </row>
    <row r="113" spans="4:9" ht="14.25">
      <c r="D113" s="1"/>
      <c r="E113" s="1"/>
      <c r="G113" s="37"/>
      <c r="H113" s="37"/>
      <c r="I113"/>
    </row>
    <row r="114" spans="4:9" ht="14.25">
      <c r="D114" s="1"/>
      <c r="E114" s="1"/>
      <c r="G114" s="38"/>
      <c r="H114" s="38"/>
      <c r="I114"/>
    </row>
    <row r="115" spans="4:9" ht="14.25">
      <c r="D115" s="1"/>
      <c r="E115" s="1"/>
      <c r="G115" s="20"/>
      <c r="H115" s="20"/>
      <c r="I115"/>
    </row>
    <row r="116" spans="4:9" ht="14.25">
      <c r="D116" s="1"/>
      <c r="E116" s="1"/>
      <c r="G116" s="20"/>
      <c r="H116" s="20"/>
      <c r="I116"/>
    </row>
    <row r="117" spans="4:9" ht="14.25">
      <c r="D117" s="1"/>
      <c r="E117" s="1"/>
      <c r="G117" s="35"/>
      <c r="H117" s="35"/>
      <c r="I117"/>
    </row>
    <row r="118" spans="4:9" ht="14.25">
      <c r="D118" s="1"/>
      <c r="E118" s="1"/>
      <c r="G118" s="36"/>
      <c r="H118" s="36"/>
      <c r="I118"/>
    </row>
    <row r="119" spans="4:9" ht="14.25">
      <c r="D119" s="1"/>
      <c r="E119" s="1"/>
      <c r="G119" s="20"/>
      <c r="H119" s="20"/>
      <c r="I119"/>
    </row>
    <row r="120" spans="4:9" ht="14.25">
      <c r="D120" s="1"/>
      <c r="E120" s="1"/>
      <c r="G120" s="20"/>
      <c r="H120" s="20"/>
      <c r="I120"/>
    </row>
    <row r="121" spans="4:9" ht="14.25">
      <c r="D121" s="1"/>
      <c r="E121" s="1"/>
      <c r="G121" s="20"/>
      <c r="H121" s="20"/>
      <c r="I121"/>
    </row>
    <row r="122" spans="4:9" ht="14.25">
      <c r="D122" s="1"/>
      <c r="E122" s="1"/>
      <c r="G122" s="20"/>
      <c r="H122" s="20"/>
      <c r="I122"/>
    </row>
    <row r="123" spans="4:9" ht="14.25">
      <c r="D123" s="1"/>
      <c r="E123" s="1"/>
      <c r="G123" s="37"/>
      <c r="H123" s="37"/>
      <c r="I123"/>
    </row>
    <row r="124" spans="4:9" ht="14.25">
      <c r="D124" s="1"/>
      <c r="E124" s="1"/>
      <c r="G124" s="39"/>
      <c r="H124" s="39"/>
      <c r="I124"/>
    </row>
    <row r="125" spans="4:9" ht="14.25">
      <c r="D125" s="1"/>
      <c r="E125" s="1"/>
      <c r="G125" s="39"/>
      <c r="H125" s="39"/>
      <c r="I125"/>
    </row>
    <row r="126" spans="4:9" ht="14.25">
      <c r="D126" s="1"/>
      <c r="E126" s="1"/>
      <c r="G126" s="37"/>
      <c r="H126" s="37"/>
      <c r="I126"/>
    </row>
    <row r="127" spans="4:9" ht="14.25">
      <c r="D127" s="1"/>
      <c r="E127" s="1"/>
      <c r="G127" s="39"/>
      <c r="H127" s="39"/>
      <c r="I127"/>
    </row>
    <row r="128" spans="4:9" ht="14.25">
      <c r="D128" s="1"/>
      <c r="E128" s="1"/>
      <c r="G128" s="39"/>
      <c r="H128" s="39"/>
      <c r="I128"/>
    </row>
    <row r="129" spans="4:9" ht="14.25">
      <c r="D129" s="1"/>
      <c r="E129" s="1"/>
      <c r="G129" s="37"/>
      <c r="H129" s="37"/>
      <c r="I129"/>
    </row>
    <row r="130" spans="4:9" ht="14.25">
      <c r="D130" s="1"/>
      <c r="E130" s="1"/>
      <c r="G130" s="39"/>
      <c r="H130" s="39"/>
      <c r="I130"/>
    </row>
    <row r="131" spans="4:9" ht="14.25">
      <c r="D131" s="1"/>
      <c r="E131" s="1"/>
      <c r="G131" s="38"/>
      <c r="H131" s="38"/>
      <c r="I131"/>
    </row>
    <row r="132" spans="4:9" ht="14.25">
      <c r="D132" s="1"/>
      <c r="E132" s="1"/>
      <c r="G132"/>
      <c r="H132"/>
      <c r="I132"/>
    </row>
    <row r="133" spans="4:9" ht="14.25">
      <c r="D133" s="1"/>
      <c r="E133" s="1"/>
      <c r="G133"/>
      <c r="H133"/>
      <c r="I133"/>
    </row>
    <row r="134" spans="4:9" ht="14.25">
      <c r="D134" s="1"/>
      <c r="E134" s="1"/>
      <c r="G134"/>
      <c r="H134"/>
      <c r="I134"/>
    </row>
    <row r="135" spans="4:9" ht="14.25">
      <c r="D135" s="1"/>
      <c r="E135" s="1"/>
      <c r="G135"/>
      <c r="H135"/>
      <c r="I135"/>
    </row>
    <row r="136" spans="4:9" ht="14.25">
      <c r="D136" s="1"/>
      <c r="E136" s="1"/>
      <c r="G136"/>
      <c r="H136"/>
      <c r="I136"/>
    </row>
    <row r="137" spans="4:9" ht="14.25">
      <c r="D137" s="1"/>
      <c r="E137" s="1"/>
      <c r="G137"/>
      <c r="H137"/>
      <c r="I137"/>
    </row>
    <row r="138" spans="4:9" ht="14.25">
      <c r="D138" s="1"/>
      <c r="E138" s="1"/>
      <c r="G138"/>
      <c r="H138"/>
      <c r="I138"/>
    </row>
    <row r="139" spans="4:9" ht="14.25">
      <c r="D139" s="1"/>
      <c r="E139" s="1"/>
      <c r="G139"/>
      <c r="H139"/>
      <c r="I139"/>
    </row>
    <row r="140" spans="4:9" ht="14.25">
      <c r="D140" s="1"/>
      <c r="E140" s="1"/>
      <c r="G140"/>
      <c r="H140"/>
      <c r="I140"/>
    </row>
    <row r="141" spans="4:9" ht="14.25">
      <c r="D141" s="1"/>
      <c r="E141" s="1"/>
      <c r="G141"/>
      <c r="H141"/>
      <c r="I141"/>
    </row>
    <row r="142" spans="4:9" ht="14.25">
      <c r="D142" s="1"/>
      <c r="E142" s="1"/>
      <c r="G142"/>
      <c r="H142"/>
      <c r="I142"/>
    </row>
    <row r="143" spans="4:9" ht="14.25">
      <c r="D143" s="1"/>
      <c r="E143" s="1"/>
      <c r="G143"/>
      <c r="H143"/>
      <c r="I143"/>
    </row>
    <row r="144" spans="4:9" ht="14.25">
      <c r="D144" s="1"/>
      <c r="E144" s="1"/>
      <c r="G144"/>
      <c r="H144"/>
      <c r="I144"/>
    </row>
    <row r="145" spans="4:9" ht="14.25">
      <c r="D145" s="1"/>
      <c r="E145" s="1"/>
      <c r="G145"/>
      <c r="H145"/>
      <c r="I145"/>
    </row>
    <row r="146" spans="4:9" ht="14.25">
      <c r="D146" s="1"/>
      <c r="E146" s="1"/>
      <c r="G146"/>
      <c r="H146"/>
      <c r="I146"/>
    </row>
    <row r="147" spans="4:5" ht="14.25">
      <c r="D147" s="1"/>
      <c r="E147" s="1"/>
    </row>
    <row r="148" spans="4:5" ht="14.25">
      <c r="D148" s="1"/>
      <c r="E148" s="1"/>
    </row>
    <row r="149" spans="4:5" ht="14.25">
      <c r="D149" s="1"/>
      <c r="E149" s="1"/>
    </row>
  </sheetData>
  <mergeCells count="6">
    <mergeCell ref="A97:G97"/>
    <mergeCell ref="A1:G1"/>
    <mergeCell ref="A3:G3"/>
    <mergeCell ref="A71:G71"/>
    <mergeCell ref="A73:G73"/>
    <mergeCell ref="A95:G95"/>
  </mergeCells>
  <printOptions horizontalCentered="1"/>
  <pageMargins left="0.2362204724409449" right="0.2755905511811024" top="0.4724409448818898" bottom="0.7086614173228347" header="0.31496062992125984" footer="0.31496062992125984"/>
  <pageSetup firstPageNumber="166" useFirstPageNumber="1" horizontalDpi="600" verticalDpi="600" orientation="portrait" paperSize="9" scale="74" r:id="rId1"/>
  <headerFooter alignWithMargins="0">
    <oddHeader>&amp;R&amp;"Arial,Bold"Appendix H(ii)</oddHeader>
    <oddFooter>&amp;L&amp;F\&amp;A&amp;R&amp;P</oddFooter>
  </headerFooter>
  <rowBreaks count="1" manualBreakCount="1">
    <brk id="7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="60" workbookViewId="0" topLeftCell="A25">
      <selection activeCell="A72" sqref="A72:G72"/>
    </sheetView>
  </sheetViews>
  <sheetFormatPr defaultColWidth="9.140625" defaultRowHeight="12.75"/>
  <cols>
    <col min="1" max="1" width="5.7109375" style="1" customWidth="1"/>
    <col min="2" max="2" width="65.7109375" style="1" bestFit="1" customWidth="1"/>
    <col min="3" max="5" width="12.7109375" style="2" customWidth="1"/>
    <col min="6" max="7" width="12.7109375" style="1" customWidth="1"/>
    <col min="8" max="16384" width="9.140625" style="1" customWidth="1"/>
  </cols>
  <sheetData>
    <row r="1" spans="1:7" ht="18">
      <c r="A1" s="302" t="s">
        <v>71</v>
      </c>
      <c r="B1" s="302"/>
      <c r="C1" s="302"/>
      <c r="D1" s="302"/>
      <c r="E1" s="302"/>
      <c r="F1" s="302"/>
      <c r="G1" s="302"/>
    </row>
    <row r="2" spans="1:6" ht="18">
      <c r="A2" s="17"/>
      <c r="B2" s="18"/>
      <c r="C2" s="18"/>
      <c r="D2" s="18"/>
      <c r="E2" s="18"/>
      <c r="F2" s="18"/>
    </row>
    <row r="3" spans="1:7" ht="18">
      <c r="A3" s="302" t="s">
        <v>139</v>
      </c>
      <c r="B3" s="302"/>
      <c r="C3" s="302"/>
      <c r="D3" s="302"/>
      <c r="E3" s="302"/>
      <c r="F3" s="302"/>
      <c r="G3" s="302"/>
    </row>
    <row r="4" ht="15" thickBot="1"/>
    <row r="5" spans="2:7" ht="14.25">
      <c r="B5" s="113"/>
      <c r="C5" s="78" t="s">
        <v>0</v>
      </c>
      <c r="D5" s="78" t="s">
        <v>1</v>
      </c>
      <c r="E5" s="78" t="s">
        <v>2</v>
      </c>
      <c r="F5" s="78" t="s">
        <v>37</v>
      </c>
      <c r="G5" s="53" t="s">
        <v>63</v>
      </c>
    </row>
    <row r="6" spans="2:7" ht="14.25">
      <c r="B6" s="114"/>
      <c r="C6" s="3" t="s">
        <v>258</v>
      </c>
      <c r="D6" s="3" t="s">
        <v>260</v>
      </c>
      <c r="E6" s="3" t="s">
        <v>260</v>
      </c>
      <c r="F6" s="3" t="s">
        <v>260</v>
      </c>
      <c r="G6" s="56" t="s">
        <v>260</v>
      </c>
    </row>
    <row r="7" spans="2:7" ht="14.25">
      <c r="B7" s="114" t="s">
        <v>3</v>
      </c>
      <c r="C7" s="3" t="s">
        <v>259</v>
      </c>
      <c r="D7" s="3" t="s">
        <v>261</v>
      </c>
      <c r="E7" s="3" t="s">
        <v>261</v>
      </c>
      <c r="F7" s="3" t="s">
        <v>261</v>
      </c>
      <c r="G7" s="56" t="s">
        <v>261</v>
      </c>
    </row>
    <row r="8" spans="2:7" ht="14.25">
      <c r="B8" s="115"/>
      <c r="C8" s="47" t="s">
        <v>5</v>
      </c>
      <c r="D8" s="47" t="s">
        <v>5</v>
      </c>
      <c r="E8" s="47" t="s">
        <v>5</v>
      </c>
      <c r="F8" s="47" t="s">
        <v>5</v>
      </c>
      <c r="G8" s="58" t="s">
        <v>5</v>
      </c>
    </row>
    <row r="9" spans="2:7" ht="14.25">
      <c r="B9" s="265"/>
      <c r="C9" s="266"/>
      <c r="D9" s="266"/>
      <c r="E9" s="266"/>
      <c r="F9" s="266"/>
      <c r="G9" s="84"/>
    </row>
    <row r="10" spans="2:7" ht="14.25">
      <c r="B10" s="89" t="s">
        <v>256</v>
      </c>
      <c r="C10" s="138">
        <f>2492+1340</f>
        <v>3832</v>
      </c>
      <c r="D10" s="138">
        <v>2625</v>
      </c>
      <c r="E10" s="139">
        <v>3290</v>
      </c>
      <c r="F10" s="140">
        <v>3458</v>
      </c>
      <c r="G10" s="141">
        <v>3458</v>
      </c>
    </row>
    <row r="11" spans="2:7" ht="14.25">
      <c r="B11" s="72"/>
      <c r="C11" s="148"/>
      <c r="D11" s="148"/>
      <c r="E11" s="149"/>
      <c r="F11" s="149"/>
      <c r="G11" s="150"/>
    </row>
    <row r="12" spans="2:7" ht="25.5">
      <c r="B12" s="273" t="s">
        <v>255</v>
      </c>
      <c r="C12" s="148"/>
      <c r="D12" s="148"/>
      <c r="E12" s="149"/>
      <c r="F12" s="149"/>
      <c r="G12" s="150"/>
    </row>
    <row r="13" spans="2:7" ht="14.25">
      <c r="B13" s="273"/>
      <c r="C13" s="148"/>
      <c r="D13" s="148"/>
      <c r="E13" s="149"/>
      <c r="F13" s="149"/>
      <c r="G13" s="150"/>
    </row>
    <row r="14" spans="2:7" ht="14.25">
      <c r="B14" s="69" t="s">
        <v>210</v>
      </c>
      <c r="C14" s="142"/>
      <c r="D14" s="143"/>
      <c r="E14" s="143"/>
      <c r="F14" s="143"/>
      <c r="G14" s="144"/>
    </row>
    <row r="15" spans="2:7" ht="14.25">
      <c r="B15" s="94" t="s">
        <v>145</v>
      </c>
      <c r="C15" s="142">
        <v>0</v>
      </c>
      <c r="D15" s="143">
        <f>500+150</f>
        <v>650</v>
      </c>
      <c r="E15" s="143">
        <v>5000</v>
      </c>
      <c r="F15" s="143">
        <v>4500</v>
      </c>
      <c r="G15" s="144">
        <v>0</v>
      </c>
    </row>
    <row r="16" spans="2:7" ht="14.25">
      <c r="B16" s="91" t="s">
        <v>146</v>
      </c>
      <c r="C16" s="142">
        <v>0</v>
      </c>
      <c r="D16" s="145">
        <f>800</f>
        <v>800</v>
      </c>
      <c r="E16" s="145">
        <f>1300-800</f>
        <v>500</v>
      </c>
      <c r="F16" s="145">
        <v>0</v>
      </c>
      <c r="G16" s="272">
        <v>0</v>
      </c>
    </row>
    <row r="17" spans="2:7" ht="14.25">
      <c r="B17" s="267" t="s">
        <v>148</v>
      </c>
      <c r="C17" s="142">
        <v>0</v>
      </c>
      <c r="D17" s="145">
        <f>1000-500</f>
        <v>500</v>
      </c>
      <c r="E17" s="145">
        <f>1000-500</f>
        <v>500</v>
      </c>
      <c r="F17" s="145">
        <f>1000-500</f>
        <v>500</v>
      </c>
      <c r="G17" s="272">
        <f>1000-500</f>
        <v>500</v>
      </c>
    </row>
    <row r="18" spans="2:7" ht="14.25">
      <c r="B18" s="94" t="s">
        <v>151</v>
      </c>
      <c r="C18" s="142">
        <v>0</v>
      </c>
      <c r="D18" s="143">
        <v>150</v>
      </c>
      <c r="E18" s="143">
        <v>0</v>
      </c>
      <c r="F18" s="143">
        <v>0</v>
      </c>
      <c r="G18" s="144">
        <v>0</v>
      </c>
    </row>
    <row r="19" spans="2:7" ht="14.25">
      <c r="B19" s="94" t="s">
        <v>152</v>
      </c>
      <c r="C19" s="142">
        <v>0</v>
      </c>
      <c r="D19" s="143">
        <v>40</v>
      </c>
      <c r="E19" s="143">
        <v>40</v>
      </c>
      <c r="F19" s="143">
        <v>40</v>
      </c>
      <c r="G19" s="144">
        <v>40</v>
      </c>
    </row>
    <row r="20" spans="2:7" ht="14.25">
      <c r="B20" s="106" t="s">
        <v>202</v>
      </c>
      <c r="C20" s="142">
        <v>250</v>
      </c>
      <c r="D20" s="143">
        <v>0</v>
      </c>
      <c r="E20" s="143">
        <v>0</v>
      </c>
      <c r="F20" s="143">
        <v>0</v>
      </c>
      <c r="G20" s="144">
        <v>0</v>
      </c>
    </row>
    <row r="21" spans="2:7" ht="14.25">
      <c r="B21" s="61" t="s">
        <v>241</v>
      </c>
      <c r="C21" s="254">
        <f>20+41</f>
        <v>61</v>
      </c>
      <c r="D21" s="254">
        <v>0</v>
      </c>
      <c r="E21" s="143">
        <v>0</v>
      </c>
      <c r="F21" s="143">
        <v>0</v>
      </c>
      <c r="G21" s="144">
        <v>0</v>
      </c>
    </row>
    <row r="22" spans="2:7" ht="14.25">
      <c r="B22" s="61" t="s">
        <v>242</v>
      </c>
      <c r="C22" s="254">
        <v>43</v>
      </c>
      <c r="D22" s="254">
        <v>0</v>
      </c>
      <c r="E22" s="143">
        <v>0</v>
      </c>
      <c r="F22" s="143">
        <v>0</v>
      </c>
      <c r="G22" s="144">
        <v>0</v>
      </c>
    </row>
    <row r="23" spans="2:7" ht="14.25">
      <c r="B23" s="61" t="s">
        <v>243</v>
      </c>
      <c r="C23" s="254">
        <v>600</v>
      </c>
      <c r="D23" s="254">
        <v>14</v>
      </c>
      <c r="E23" s="143">
        <v>0</v>
      </c>
      <c r="F23" s="143">
        <v>0</v>
      </c>
      <c r="G23" s="144">
        <v>0</v>
      </c>
    </row>
    <row r="24" spans="2:7" ht="14.25">
      <c r="B24" s="61" t="s">
        <v>244</v>
      </c>
      <c r="C24" s="254">
        <v>55</v>
      </c>
      <c r="D24" s="254">
        <f>200+14</f>
        <v>214</v>
      </c>
      <c r="E24" s="143">
        <v>0</v>
      </c>
      <c r="F24" s="143">
        <v>0</v>
      </c>
      <c r="G24" s="144">
        <v>0</v>
      </c>
    </row>
    <row r="25" spans="2:7" ht="14.25">
      <c r="B25" s="61" t="s">
        <v>245</v>
      </c>
      <c r="C25" s="254">
        <f>37+44</f>
        <v>81</v>
      </c>
      <c r="D25" s="254">
        <v>130</v>
      </c>
      <c r="E25" s="143">
        <v>0</v>
      </c>
      <c r="F25" s="143">
        <v>0</v>
      </c>
      <c r="G25" s="144">
        <v>0</v>
      </c>
    </row>
    <row r="26" spans="2:7" ht="14.25">
      <c r="B26" s="61" t="s">
        <v>246</v>
      </c>
      <c r="C26" s="254">
        <v>100</v>
      </c>
      <c r="D26" s="254">
        <v>0</v>
      </c>
      <c r="E26" s="143">
        <v>0</v>
      </c>
      <c r="F26" s="143">
        <v>0</v>
      </c>
      <c r="G26" s="144">
        <v>0</v>
      </c>
    </row>
    <row r="27" spans="2:7" ht="14.25">
      <c r="B27" s="61" t="s">
        <v>247</v>
      </c>
      <c r="C27" s="254">
        <v>200</v>
      </c>
      <c r="D27" s="254">
        <v>40</v>
      </c>
      <c r="E27" s="143">
        <v>0</v>
      </c>
      <c r="F27" s="143">
        <v>0</v>
      </c>
      <c r="G27" s="144">
        <v>0</v>
      </c>
    </row>
    <row r="28" spans="2:7" ht="14.25">
      <c r="B28" s="61" t="s">
        <v>248</v>
      </c>
      <c r="C28" s="254">
        <v>11</v>
      </c>
      <c r="D28" s="254">
        <v>70</v>
      </c>
      <c r="E28" s="143">
        <v>0</v>
      </c>
      <c r="F28" s="143">
        <v>0</v>
      </c>
      <c r="G28" s="144">
        <v>0</v>
      </c>
    </row>
    <row r="29" spans="2:7" ht="14.25">
      <c r="B29" s="61" t="s">
        <v>249</v>
      </c>
      <c r="C29" s="254">
        <v>29</v>
      </c>
      <c r="D29" s="254">
        <v>0</v>
      </c>
      <c r="E29" s="143">
        <v>0</v>
      </c>
      <c r="F29" s="143">
        <v>0</v>
      </c>
      <c r="G29" s="144">
        <v>0</v>
      </c>
    </row>
    <row r="30" spans="2:7" ht="14.25">
      <c r="B30" s="61" t="s">
        <v>250</v>
      </c>
      <c r="C30" s="254">
        <v>1</v>
      </c>
      <c r="D30" s="254">
        <v>0</v>
      </c>
      <c r="E30" s="143">
        <v>0</v>
      </c>
      <c r="F30" s="143">
        <v>0</v>
      </c>
      <c r="G30" s="144">
        <v>0</v>
      </c>
    </row>
    <row r="31" spans="2:7" ht="14.25">
      <c r="B31" s="61" t="s">
        <v>265</v>
      </c>
      <c r="C31" s="254">
        <v>35</v>
      </c>
      <c r="D31" s="254">
        <v>0</v>
      </c>
      <c r="E31" s="143">
        <v>0</v>
      </c>
      <c r="F31" s="143">
        <v>0</v>
      </c>
      <c r="G31" s="144">
        <v>0</v>
      </c>
    </row>
    <row r="32" spans="2:7" ht="14.25">
      <c r="B32" s="61" t="s">
        <v>251</v>
      </c>
      <c r="C32" s="254">
        <v>55</v>
      </c>
      <c r="D32" s="254">
        <v>0</v>
      </c>
      <c r="E32" s="143">
        <v>0</v>
      </c>
      <c r="F32" s="143">
        <v>0</v>
      </c>
      <c r="G32" s="144">
        <v>0</v>
      </c>
    </row>
    <row r="33" spans="2:7" ht="14.25">
      <c r="B33" s="61" t="s">
        <v>252</v>
      </c>
      <c r="C33" s="254">
        <v>89</v>
      </c>
      <c r="D33" s="254">
        <v>0</v>
      </c>
      <c r="E33" s="143">
        <v>0</v>
      </c>
      <c r="F33" s="143">
        <v>0</v>
      </c>
      <c r="G33" s="144">
        <v>0</v>
      </c>
    </row>
    <row r="34" spans="2:7" ht="14.25">
      <c r="B34" s="61" t="s">
        <v>253</v>
      </c>
      <c r="C34" s="254">
        <v>331</v>
      </c>
      <c r="D34" s="254">
        <v>0</v>
      </c>
      <c r="E34" s="143">
        <v>0</v>
      </c>
      <c r="F34" s="143">
        <v>0</v>
      </c>
      <c r="G34" s="144">
        <v>0</v>
      </c>
    </row>
    <row r="35" spans="2:7" ht="14.25">
      <c r="B35" s="61" t="s">
        <v>254</v>
      </c>
      <c r="C35" s="254">
        <v>12</v>
      </c>
      <c r="D35" s="254">
        <v>0</v>
      </c>
      <c r="E35" s="143">
        <v>0</v>
      </c>
      <c r="F35" s="143">
        <v>0</v>
      </c>
      <c r="G35" s="144">
        <v>0</v>
      </c>
    </row>
    <row r="36" spans="2:7" ht="14.25">
      <c r="B36" s="61" t="s">
        <v>264</v>
      </c>
      <c r="C36" s="254">
        <f>98</f>
        <v>98</v>
      </c>
      <c r="D36" s="254">
        <v>0</v>
      </c>
      <c r="E36" s="143">
        <v>0</v>
      </c>
      <c r="F36" s="143">
        <v>0</v>
      </c>
      <c r="G36" s="144">
        <v>0</v>
      </c>
    </row>
    <row r="37" spans="1:7" ht="14.25">
      <c r="A37" s="88"/>
      <c r="B37" s="284"/>
      <c r="C37" s="285"/>
      <c r="D37" s="286"/>
      <c r="E37" s="286"/>
      <c r="F37" s="286"/>
      <c r="G37" s="287"/>
    </row>
    <row r="38" spans="2:7" ht="14.25">
      <c r="B38" s="100" t="s">
        <v>209</v>
      </c>
      <c r="C38" s="142"/>
      <c r="D38" s="143"/>
      <c r="E38" s="143"/>
      <c r="F38" s="143"/>
      <c r="G38" s="144"/>
    </row>
    <row r="39" spans="2:7" ht="14.25">
      <c r="B39" s="277" t="s">
        <v>266</v>
      </c>
      <c r="C39" s="142"/>
      <c r="D39" s="145"/>
      <c r="E39" s="145"/>
      <c r="F39" s="143"/>
      <c r="G39" s="144"/>
    </row>
    <row r="40" spans="2:7" ht="14.25">
      <c r="B40" s="278" t="s">
        <v>218</v>
      </c>
      <c r="C40" s="142">
        <f>730+46+15</f>
        <v>791</v>
      </c>
      <c r="D40" s="143">
        <f>214+28</f>
        <v>242</v>
      </c>
      <c r="E40" s="143">
        <v>0</v>
      </c>
      <c r="F40" s="143">
        <v>0</v>
      </c>
      <c r="G40" s="144">
        <v>0</v>
      </c>
    </row>
    <row r="41" spans="2:7" ht="14.25">
      <c r="B41" s="278" t="s">
        <v>219</v>
      </c>
      <c r="C41" s="142">
        <f>644-17+137+50</f>
        <v>814</v>
      </c>
      <c r="D41" s="143">
        <f>321+15</f>
        <v>336</v>
      </c>
      <c r="E41" s="143">
        <v>14</v>
      </c>
      <c r="F41" s="143">
        <v>0</v>
      </c>
      <c r="G41" s="144">
        <v>0</v>
      </c>
    </row>
    <row r="42" spans="2:7" ht="14.25">
      <c r="B42" s="278" t="s">
        <v>220</v>
      </c>
      <c r="C42" s="142">
        <f>900-9+148+421</f>
        <v>1460</v>
      </c>
      <c r="D42" s="143">
        <f>10+115+10</f>
        <v>135</v>
      </c>
      <c r="E42" s="143">
        <v>0</v>
      </c>
      <c r="F42" s="143">
        <v>0</v>
      </c>
      <c r="G42" s="144">
        <v>0</v>
      </c>
    </row>
    <row r="43" spans="2:7" ht="14.25">
      <c r="B43" s="278" t="s">
        <v>221</v>
      </c>
      <c r="C43" s="142">
        <f>60+151</f>
        <v>211</v>
      </c>
      <c r="D43" s="143">
        <v>0</v>
      </c>
      <c r="E43" s="143">
        <v>0</v>
      </c>
      <c r="F43" s="143">
        <v>0</v>
      </c>
      <c r="G43" s="144">
        <v>0</v>
      </c>
    </row>
    <row r="44" spans="2:7" ht="14.25">
      <c r="B44" s="278" t="s">
        <v>222</v>
      </c>
      <c r="C44" s="142">
        <f>224+132</f>
        <v>356</v>
      </c>
      <c r="D44" s="143">
        <f>43+126</f>
        <v>169</v>
      </c>
      <c r="E44" s="143">
        <v>0</v>
      </c>
      <c r="F44" s="143">
        <v>0</v>
      </c>
      <c r="G44" s="144">
        <v>0</v>
      </c>
    </row>
    <row r="45" spans="2:7" ht="14.25">
      <c r="B45" s="278" t="s">
        <v>97</v>
      </c>
      <c r="C45" s="142">
        <f>468+30</f>
        <v>498</v>
      </c>
      <c r="D45" s="143">
        <f>400+2</f>
        <v>402</v>
      </c>
      <c r="E45" s="143">
        <v>400</v>
      </c>
      <c r="F45" s="143">
        <v>400</v>
      </c>
      <c r="G45" s="144">
        <v>0</v>
      </c>
    </row>
    <row r="46" spans="2:7" ht="14.25">
      <c r="B46" s="278" t="s">
        <v>228</v>
      </c>
      <c r="C46" s="142">
        <f>702+466+275</f>
        <v>1443</v>
      </c>
      <c r="D46" s="143">
        <f>254+79</f>
        <v>333</v>
      </c>
      <c r="E46" s="143">
        <v>0</v>
      </c>
      <c r="F46" s="143">
        <v>0</v>
      </c>
      <c r="G46" s="144">
        <v>0</v>
      </c>
    </row>
    <row r="47" spans="2:7" ht="14.25">
      <c r="B47" s="278" t="s">
        <v>235</v>
      </c>
      <c r="C47" s="142">
        <v>100</v>
      </c>
      <c r="D47" s="143">
        <v>0</v>
      </c>
      <c r="E47" s="143">
        <v>0</v>
      </c>
      <c r="F47" s="143">
        <v>0</v>
      </c>
      <c r="G47" s="144">
        <v>0</v>
      </c>
    </row>
    <row r="48" spans="2:7" ht="14.25">
      <c r="B48" s="278" t="s">
        <v>227</v>
      </c>
      <c r="C48" s="142">
        <f>248+34</f>
        <v>282</v>
      </c>
      <c r="D48" s="143">
        <v>0</v>
      </c>
      <c r="E48" s="143">
        <v>0</v>
      </c>
      <c r="F48" s="143">
        <v>0</v>
      </c>
      <c r="G48" s="144">
        <v>0</v>
      </c>
    </row>
    <row r="49" spans="2:7" ht="14.25">
      <c r="B49" s="278" t="s">
        <v>236</v>
      </c>
      <c r="C49" s="142">
        <f>290-5</f>
        <v>285</v>
      </c>
      <c r="D49" s="143">
        <v>0</v>
      </c>
      <c r="E49" s="143">
        <v>0</v>
      </c>
      <c r="F49" s="143">
        <v>0</v>
      </c>
      <c r="G49" s="144">
        <v>0</v>
      </c>
    </row>
    <row r="50" spans="2:7" ht="14.25">
      <c r="B50" s="278" t="s">
        <v>149</v>
      </c>
      <c r="C50" s="142">
        <f>344+58</f>
        <v>402</v>
      </c>
      <c r="D50" s="143">
        <f>2+372+37</f>
        <v>411</v>
      </c>
      <c r="E50" s="143">
        <f>372+200</f>
        <v>572</v>
      </c>
      <c r="F50" s="143">
        <v>200</v>
      </c>
      <c r="G50" s="144">
        <v>200</v>
      </c>
    </row>
    <row r="51" spans="2:7" ht="14.25">
      <c r="B51" s="279" t="s">
        <v>223</v>
      </c>
      <c r="C51" s="142">
        <v>127</v>
      </c>
      <c r="D51" s="143">
        <v>121</v>
      </c>
      <c r="E51" s="143">
        <v>0</v>
      </c>
      <c r="F51" s="143">
        <v>0</v>
      </c>
      <c r="G51" s="144">
        <v>0</v>
      </c>
    </row>
    <row r="52" spans="2:7" ht="14.25">
      <c r="B52" s="279" t="s">
        <v>224</v>
      </c>
      <c r="C52" s="142">
        <v>205</v>
      </c>
      <c r="D52" s="143">
        <v>0</v>
      </c>
      <c r="E52" s="143">
        <v>0</v>
      </c>
      <c r="F52" s="143">
        <v>0</v>
      </c>
      <c r="G52" s="144">
        <v>0</v>
      </c>
    </row>
    <row r="53" spans="2:7" ht="14.25">
      <c r="B53" s="279" t="s">
        <v>225</v>
      </c>
      <c r="C53" s="142">
        <v>51</v>
      </c>
      <c r="D53" s="143">
        <v>0</v>
      </c>
      <c r="E53" s="143">
        <v>0</v>
      </c>
      <c r="F53" s="143">
        <v>0</v>
      </c>
      <c r="G53" s="144">
        <v>0</v>
      </c>
    </row>
    <row r="54" spans="2:7" ht="14.25">
      <c r="B54" s="279" t="s">
        <v>226</v>
      </c>
      <c r="C54" s="142">
        <v>41</v>
      </c>
      <c r="D54" s="143">
        <v>0</v>
      </c>
      <c r="E54" s="143">
        <v>0</v>
      </c>
      <c r="F54" s="143">
        <v>0</v>
      </c>
      <c r="G54" s="144">
        <v>0</v>
      </c>
    </row>
    <row r="55" spans="2:7" ht="14.25">
      <c r="B55" s="280" t="s">
        <v>237</v>
      </c>
      <c r="C55" s="142">
        <v>300</v>
      </c>
      <c r="D55" s="143">
        <v>0</v>
      </c>
      <c r="E55" s="143">
        <v>0</v>
      </c>
      <c r="F55" s="143">
        <v>0</v>
      </c>
      <c r="G55" s="144">
        <v>0</v>
      </c>
    </row>
    <row r="56" spans="2:7" ht="14.25">
      <c r="B56" s="280" t="s">
        <v>238</v>
      </c>
      <c r="C56" s="142">
        <v>81</v>
      </c>
      <c r="D56" s="143">
        <v>75</v>
      </c>
      <c r="E56" s="143">
        <v>0</v>
      </c>
      <c r="F56" s="143">
        <v>0</v>
      </c>
      <c r="G56" s="144">
        <v>0</v>
      </c>
    </row>
    <row r="57" spans="2:7" ht="14.25">
      <c r="B57" s="280" t="s">
        <v>239</v>
      </c>
      <c r="C57" s="142">
        <v>381</v>
      </c>
      <c r="D57" s="143">
        <v>0</v>
      </c>
      <c r="E57" s="143">
        <v>0</v>
      </c>
      <c r="F57" s="143">
        <v>0</v>
      </c>
      <c r="G57" s="144">
        <v>0</v>
      </c>
    </row>
    <row r="58" spans="2:7" ht="14.25">
      <c r="B58" s="94" t="s">
        <v>240</v>
      </c>
      <c r="C58" s="142">
        <v>0</v>
      </c>
      <c r="D58" s="143">
        <v>2050</v>
      </c>
      <c r="E58" s="143">
        <v>3000</v>
      </c>
      <c r="F58" s="143">
        <v>100</v>
      </c>
      <c r="G58" s="144">
        <v>1500</v>
      </c>
    </row>
    <row r="59" spans="2:7" ht="14.25">
      <c r="B59" s="106" t="s">
        <v>144</v>
      </c>
      <c r="C59" s="142">
        <v>0</v>
      </c>
      <c r="D59" s="145">
        <v>150</v>
      </c>
      <c r="E59" s="143">
        <v>0</v>
      </c>
      <c r="F59" s="143">
        <v>0</v>
      </c>
      <c r="G59" s="144">
        <v>0</v>
      </c>
    </row>
    <row r="60" spans="2:7" ht="14.25">
      <c r="B60" s="277" t="s">
        <v>213</v>
      </c>
      <c r="C60" s="142"/>
      <c r="D60" s="143"/>
      <c r="E60" s="143"/>
      <c r="F60" s="143"/>
      <c r="G60" s="144"/>
    </row>
    <row r="61" spans="2:7" ht="14.25">
      <c r="B61" s="280" t="s">
        <v>214</v>
      </c>
      <c r="C61" s="142">
        <v>51</v>
      </c>
      <c r="D61" s="143">
        <f>1149-76</f>
        <v>1073</v>
      </c>
      <c r="E61" s="143">
        <v>100</v>
      </c>
      <c r="F61" s="143">
        <v>0</v>
      </c>
      <c r="G61" s="144">
        <v>0</v>
      </c>
    </row>
    <row r="62" spans="2:7" ht="14.25">
      <c r="B62" s="280" t="s">
        <v>215</v>
      </c>
      <c r="C62" s="142">
        <v>206</v>
      </c>
      <c r="D62" s="143">
        <v>194</v>
      </c>
      <c r="E62" s="143">
        <v>0</v>
      </c>
      <c r="F62" s="143">
        <v>0</v>
      </c>
      <c r="G62" s="144">
        <v>0</v>
      </c>
    </row>
    <row r="63" spans="2:7" ht="14.25">
      <c r="B63" s="280" t="s">
        <v>216</v>
      </c>
      <c r="C63" s="142">
        <v>10</v>
      </c>
      <c r="D63" s="143">
        <v>0</v>
      </c>
      <c r="E63" s="143">
        <v>0</v>
      </c>
      <c r="F63" s="143">
        <v>0</v>
      </c>
      <c r="G63" s="144">
        <v>0</v>
      </c>
    </row>
    <row r="64" spans="2:7" ht="14.25">
      <c r="B64" s="280" t="s">
        <v>217</v>
      </c>
      <c r="C64" s="142">
        <v>114</v>
      </c>
      <c r="D64" s="143">
        <v>0</v>
      </c>
      <c r="E64" s="143">
        <v>0</v>
      </c>
      <c r="F64" s="143">
        <v>0</v>
      </c>
      <c r="G64" s="144">
        <v>0</v>
      </c>
    </row>
    <row r="65" spans="2:7" ht="14.25">
      <c r="B65" s="279" t="s">
        <v>267</v>
      </c>
      <c r="C65" s="142">
        <v>0</v>
      </c>
      <c r="D65" s="145">
        <v>300</v>
      </c>
      <c r="E65" s="145">
        <v>1000</v>
      </c>
      <c r="F65" s="145">
        <v>1000</v>
      </c>
      <c r="G65" s="272">
        <v>1000</v>
      </c>
    </row>
    <row r="66" spans="2:7" ht="14.25">
      <c r="B66" s="108" t="s">
        <v>263</v>
      </c>
      <c r="C66" s="142">
        <v>499</v>
      </c>
      <c r="D66" s="143">
        <v>2184</v>
      </c>
      <c r="E66" s="143">
        <v>55</v>
      </c>
      <c r="F66" s="143">
        <v>0</v>
      </c>
      <c r="G66" s="144">
        <v>0</v>
      </c>
    </row>
    <row r="67" spans="2:7" ht="14.25">
      <c r="B67" s="267" t="s">
        <v>230</v>
      </c>
      <c r="C67" s="142">
        <v>0</v>
      </c>
      <c r="D67" s="145">
        <v>415</v>
      </c>
      <c r="E67" s="145">
        <v>1300</v>
      </c>
      <c r="F67" s="145">
        <v>500</v>
      </c>
      <c r="G67" s="272">
        <v>500</v>
      </c>
    </row>
    <row r="68" spans="2:7" ht="14.25">
      <c r="B68" s="94" t="s">
        <v>147</v>
      </c>
      <c r="C68" s="142">
        <v>0</v>
      </c>
      <c r="D68" s="143">
        <v>800</v>
      </c>
      <c r="E68" s="143">
        <v>1000</v>
      </c>
      <c r="F68" s="143">
        <v>5900</v>
      </c>
      <c r="G68" s="144">
        <v>0</v>
      </c>
    </row>
    <row r="69" spans="2:7" ht="14.25">
      <c r="B69" s="106" t="s">
        <v>150</v>
      </c>
      <c r="C69" s="142">
        <v>0</v>
      </c>
      <c r="D69" s="143">
        <v>100</v>
      </c>
      <c r="E69" s="143">
        <v>125</v>
      </c>
      <c r="F69" s="143">
        <v>50</v>
      </c>
      <c r="G69" s="144">
        <v>50</v>
      </c>
    </row>
    <row r="70" spans="2:7" ht="14.25">
      <c r="B70" s="91" t="s">
        <v>143</v>
      </c>
      <c r="C70" s="142">
        <v>0</v>
      </c>
      <c r="D70" s="143">
        <v>200</v>
      </c>
      <c r="E70" s="143">
        <v>300</v>
      </c>
      <c r="F70" s="143">
        <v>0</v>
      </c>
      <c r="G70" s="144">
        <v>0</v>
      </c>
    </row>
    <row r="71" spans="2:7" ht="14.25">
      <c r="B71" s="269" t="s">
        <v>212</v>
      </c>
      <c r="C71" s="146">
        <f>SUM(C15:C70)</f>
        <v>10759</v>
      </c>
      <c r="D71" s="146">
        <f>SUM(D15:D70)</f>
        <v>12298</v>
      </c>
      <c r="E71" s="146">
        <f>SUM(E15:E70)</f>
        <v>13906</v>
      </c>
      <c r="F71" s="146">
        <f>SUM(F15:F70)</f>
        <v>13190</v>
      </c>
      <c r="G71" s="270">
        <f>SUM(G15:G70)</f>
        <v>3790</v>
      </c>
    </row>
    <row r="72" spans="1:7" ht="14.25">
      <c r="A72" s="40"/>
      <c r="B72" s="288"/>
      <c r="C72" s="289"/>
      <c r="D72" s="289"/>
      <c r="E72" s="289"/>
      <c r="F72" s="289"/>
      <c r="G72" s="289"/>
    </row>
    <row r="73" spans="2:7" ht="14.25">
      <c r="B73" s="268" t="s">
        <v>203</v>
      </c>
      <c r="C73" s="142"/>
      <c r="D73" s="143"/>
      <c r="E73" s="143"/>
      <c r="F73" s="143"/>
      <c r="G73" s="144"/>
    </row>
    <row r="74" spans="2:7" ht="14.25">
      <c r="B74" s="267" t="s">
        <v>201</v>
      </c>
      <c r="C74" s="142">
        <f>200+397</f>
        <v>597</v>
      </c>
      <c r="D74" s="143">
        <v>0</v>
      </c>
      <c r="E74" s="143">
        <v>0</v>
      </c>
      <c r="F74" s="143">
        <v>0</v>
      </c>
      <c r="G74" s="144">
        <v>0</v>
      </c>
    </row>
    <row r="75" spans="2:7" ht="14.25">
      <c r="B75" s="267" t="s">
        <v>204</v>
      </c>
      <c r="C75" s="142">
        <v>150</v>
      </c>
      <c r="D75" s="143">
        <v>0</v>
      </c>
      <c r="E75" s="143">
        <v>0</v>
      </c>
      <c r="F75" s="143">
        <v>0</v>
      </c>
      <c r="G75" s="144">
        <v>0</v>
      </c>
    </row>
    <row r="76" spans="2:7" ht="14.25">
      <c r="B76" s="94" t="s">
        <v>211</v>
      </c>
      <c r="C76" s="142">
        <v>0</v>
      </c>
      <c r="D76" s="143">
        <v>200</v>
      </c>
      <c r="E76" s="143">
        <v>0</v>
      </c>
      <c r="F76" s="143">
        <v>0</v>
      </c>
      <c r="G76" s="144">
        <v>0</v>
      </c>
    </row>
    <row r="77" spans="2:7" ht="14.25">
      <c r="B77" s="267" t="s">
        <v>268</v>
      </c>
      <c r="C77" s="142">
        <v>100</v>
      </c>
      <c r="D77" s="143">
        <v>203</v>
      </c>
      <c r="E77" s="143">
        <v>0</v>
      </c>
      <c r="F77" s="143">
        <v>0</v>
      </c>
      <c r="G77" s="144">
        <v>0</v>
      </c>
    </row>
    <row r="78" spans="2:7" ht="14.25">
      <c r="B78" s="267" t="s">
        <v>205</v>
      </c>
      <c r="C78" s="142">
        <v>18</v>
      </c>
      <c r="D78" s="143">
        <v>0</v>
      </c>
      <c r="E78" s="143">
        <v>0</v>
      </c>
      <c r="F78" s="143">
        <v>0</v>
      </c>
      <c r="G78" s="144">
        <v>0</v>
      </c>
    </row>
    <row r="79" spans="2:7" ht="14.25">
      <c r="B79" s="267" t="s">
        <v>206</v>
      </c>
      <c r="C79" s="142">
        <v>180</v>
      </c>
      <c r="D79" s="143">
        <v>0</v>
      </c>
      <c r="E79" s="143">
        <v>0</v>
      </c>
      <c r="F79" s="143">
        <v>0</v>
      </c>
      <c r="G79" s="144">
        <v>0</v>
      </c>
    </row>
    <row r="80" spans="2:7" ht="14.25">
      <c r="B80" s="267" t="s">
        <v>229</v>
      </c>
      <c r="C80" s="142">
        <v>0</v>
      </c>
      <c r="D80" s="145">
        <v>50</v>
      </c>
      <c r="E80" s="145">
        <v>0</v>
      </c>
      <c r="F80" s="145">
        <v>0</v>
      </c>
      <c r="G80" s="272">
        <v>0</v>
      </c>
    </row>
    <row r="81" spans="2:7" ht="14.25">
      <c r="B81" s="267" t="s">
        <v>207</v>
      </c>
      <c r="C81" s="142">
        <v>300</v>
      </c>
      <c r="D81" s="143">
        <v>200</v>
      </c>
      <c r="E81" s="143">
        <v>50</v>
      </c>
      <c r="F81" s="143">
        <v>0</v>
      </c>
      <c r="G81" s="144">
        <v>0</v>
      </c>
    </row>
    <row r="82" spans="2:7" ht="14.25">
      <c r="B82" s="269" t="s">
        <v>208</v>
      </c>
      <c r="C82" s="146">
        <f>SUM(C74:C81)</f>
        <v>1345</v>
      </c>
      <c r="D82" s="146">
        <f>SUM(D74:D81)</f>
        <v>653</v>
      </c>
      <c r="E82" s="146">
        <f>SUM(E74:E81)</f>
        <v>50</v>
      </c>
      <c r="F82" s="146">
        <f>SUM(F74:F81)</f>
        <v>0</v>
      </c>
      <c r="G82" s="270">
        <f>SUM(G74:G81)</f>
        <v>0</v>
      </c>
    </row>
    <row r="83" spans="2:7" ht="14.25">
      <c r="B83" s="106"/>
      <c r="C83" s="142"/>
      <c r="D83" s="143"/>
      <c r="E83" s="143"/>
      <c r="F83" s="143"/>
      <c r="G83" s="144"/>
    </row>
    <row r="84" spans="2:7" ht="14.25">
      <c r="B84" s="89" t="s">
        <v>192</v>
      </c>
      <c r="C84" s="146">
        <f>C82+C71</f>
        <v>12104</v>
      </c>
      <c r="D84" s="146">
        <f>D82+D71</f>
        <v>12951</v>
      </c>
      <c r="E84" s="146">
        <f>E82+E71</f>
        <v>13956</v>
      </c>
      <c r="F84" s="146">
        <f>F82+F71</f>
        <v>13190</v>
      </c>
      <c r="G84" s="270">
        <f>G82+G71</f>
        <v>3790</v>
      </c>
    </row>
    <row r="85" spans="2:7" ht="15.75" thickBot="1">
      <c r="B85" s="135" t="s">
        <v>140</v>
      </c>
      <c r="C85" s="147">
        <f>C84+C10</f>
        <v>15936</v>
      </c>
      <c r="D85" s="147">
        <f>D84+D10</f>
        <v>15576</v>
      </c>
      <c r="E85" s="147">
        <f>E84+E10</f>
        <v>17246</v>
      </c>
      <c r="F85" s="147">
        <f>F84+F10</f>
        <v>16648</v>
      </c>
      <c r="G85" s="271">
        <f>G84+G10</f>
        <v>7248</v>
      </c>
    </row>
  </sheetData>
  <mergeCells count="2">
    <mergeCell ref="A1:G1"/>
    <mergeCell ref="A3:G3"/>
  </mergeCells>
  <printOptions horizontalCentered="1" verticalCentered="1"/>
  <pageMargins left="0.7480314960629921" right="0.7480314960629921" top="0.15748031496062992" bottom="0.35433070866141736" header="0.1968503937007874" footer="0.15748031496062992"/>
  <pageSetup firstPageNumber="168" useFirstPageNumber="1" horizontalDpi="600" verticalDpi="600" orientation="landscape" paperSize="9" scale="95" r:id="rId1"/>
  <headerFooter alignWithMargins="0">
    <oddHeader>&amp;R&amp;"Arial,Bold"Annex A to Appendix H(ii)</oddHeader>
    <oddFooter>&amp;L&amp;F\&amp;A&amp;R&amp;P</oddFooter>
  </headerFooter>
  <rowBreaks count="2" manualBreakCount="2">
    <brk id="37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workbookViewId="0" topLeftCell="A10">
      <selection activeCell="B35" sqref="B35:G35"/>
    </sheetView>
  </sheetViews>
  <sheetFormatPr defaultColWidth="9.140625" defaultRowHeight="12.75"/>
  <cols>
    <col min="1" max="1" width="5.7109375" style="1" customWidth="1"/>
    <col min="2" max="2" width="52.57421875" style="1" customWidth="1"/>
    <col min="3" max="5" width="12.7109375" style="2" customWidth="1"/>
    <col min="6" max="7" width="12.7109375" style="1" customWidth="1"/>
    <col min="8" max="16384" width="9.140625" style="1" customWidth="1"/>
  </cols>
  <sheetData>
    <row r="1" spans="1:7" ht="18">
      <c r="A1" s="302" t="s">
        <v>71</v>
      </c>
      <c r="B1" s="302"/>
      <c r="C1" s="302"/>
      <c r="D1" s="302"/>
      <c r="E1" s="302"/>
      <c r="F1" s="302"/>
      <c r="G1" s="302"/>
    </row>
    <row r="2" spans="1:6" ht="18">
      <c r="A2" s="17"/>
      <c r="B2" s="18"/>
      <c r="C2" s="18"/>
      <c r="D2" s="18"/>
      <c r="E2" s="18"/>
      <c r="F2" s="18"/>
    </row>
    <row r="3" spans="1:7" ht="18">
      <c r="A3" s="302" t="s">
        <v>72</v>
      </c>
      <c r="B3" s="302"/>
      <c r="C3" s="302"/>
      <c r="D3" s="302"/>
      <c r="E3" s="302"/>
      <c r="F3" s="302"/>
      <c r="G3" s="302"/>
    </row>
    <row r="4" ht="15" thickBot="1"/>
    <row r="5" spans="2:7" ht="14.25">
      <c r="B5" s="51"/>
      <c r="C5" s="78" t="s">
        <v>0</v>
      </c>
      <c r="D5" s="78" t="s">
        <v>1</v>
      </c>
      <c r="E5" s="78" t="s">
        <v>2</v>
      </c>
      <c r="F5" s="78" t="s">
        <v>37</v>
      </c>
      <c r="G5" s="53" t="s">
        <v>63</v>
      </c>
    </row>
    <row r="6" spans="2:7" ht="14.25">
      <c r="B6" s="54"/>
      <c r="C6" s="3" t="s">
        <v>258</v>
      </c>
      <c r="D6" s="3" t="s">
        <v>260</v>
      </c>
      <c r="E6" s="3" t="s">
        <v>260</v>
      </c>
      <c r="F6" s="3" t="s">
        <v>260</v>
      </c>
      <c r="G6" s="56" t="s">
        <v>260</v>
      </c>
    </row>
    <row r="7" spans="2:7" ht="14.25">
      <c r="B7" s="54" t="s">
        <v>3</v>
      </c>
      <c r="C7" s="3" t="s">
        <v>259</v>
      </c>
      <c r="D7" s="3" t="s">
        <v>261</v>
      </c>
      <c r="E7" s="3" t="s">
        <v>261</v>
      </c>
      <c r="F7" s="3" t="s">
        <v>261</v>
      </c>
      <c r="G7" s="56" t="s">
        <v>261</v>
      </c>
    </row>
    <row r="8" spans="2:7" ht="14.25">
      <c r="B8" s="57"/>
      <c r="C8" s="47" t="s">
        <v>5</v>
      </c>
      <c r="D8" s="47" t="s">
        <v>5</v>
      </c>
      <c r="E8" s="47" t="s">
        <v>5</v>
      </c>
      <c r="F8" s="47" t="s">
        <v>5</v>
      </c>
      <c r="G8" s="58" t="s">
        <v>5</v>
      </c>
    </row>
    <row r="9" spans="2:7" ht="14.25">
      <c r="B9" s="69"/>
      <c r="C9" s="11"/>
      <c r="D9" s="7"/>
      <c r="E9" s="6"/>
      <c r="F9" s="6"/>
      <c r="G9" s="88"/>
    </row>
    <row r="10" spans="2:7" ht="14.25">
      <c r="B10" s="89" t="s">
        <v>32</v>
      </c>
      <c r="C10" s="16">
        <v>5129</v>
      </c>
      <c r="D10" s="27">
        <v>5000</v>
      </c>
      <c r="E10" s="9">
        <v>5000</v>
      </c>
      <c r="F10" s="9">
        <v>5000</v>
      </c>
      <c r="G10" s="74">
        <v>5000</v>
      </c>
    </row>
    <row r="11" spans="2:7" ht="14.25">
      <c r="B11" s="69"/>
      <c r="C11" s="43"/>
      <c r="D11" s="50"/>
      <c r="E11" s="48"/>
      <c r="F11" s="48"/>
      <c r="G11" s="107"/>
    </row>
    <row r="12" spans="2:7" ht="25.5">
      <c r="B12" s="273" t="s">
        <v>255</v>
      </c>
      <c r="C12" s="43"/>
      <c r="D12" s="50"/>
      <c r="E12" s="48"/>
      <c r="F12" s="48"/>
      <c r="G12" s="88"/>
    </row>
    <row r="13" spans="2:7" ht="14.25">
      <c r="B13" s="69"/>
      <c r="C13" s="43"/>
      <c r="D13" s="50"/>
      <c r="E13" s="48"/>
      <c r="F13" s="48"/>
      <c r="G13" s="88"/>
    </row>
    <row r="14" spans="2:7" ht="14.25">
      <c r="B14" s="69" t="s">
        <v>190</v>
      </c>
      <c r="C14" s="11"/>
      <c r="D14" s="7"/>
      <c r="E14" s="6"/>
      <c r="F14" s="6"/>
      <c r="G14" s="88"/>
    </row>
    <row r="15" spans="2:7" ht="14.25">
      <c r="B15" s="66" t="s">
        <v>74</v>
      </c>
      <c r="C15" s="11">
        <v>26</v>
      </c>
      <c r="D15" s="7">
        <v>0</v>
      </c>
      <c r="E15" s="6">
        <v>0</v>
      </c>
      <c r="F15" s="6">
        <v>0</v>
      </c>
      <c r="G15" s="88">
        <v>0</v>
      </c>
    </row>
    <row r="16" spans="2:7" ht="14.25">
      <c r="B16" s="66" t="s">
        <v>76</v>
      </c>
      <c r="C16" s="10">
        <v>1600</v>
      </c>
      <c r="D16" s="7">
        <v>0</v>
      </c>
      <c r="E16" s="6">
        <v>0</v>
      </c>
      <c r="F16" s="6">
        <v>0</v>
      </c>
      <c r="G16" s="88">
        <v>0</v>
      </c>
    </row>
    <row r="17" spans="2:7" ht="14.25">
      <c r="B17" s="66" t="s">
        <v>77</v>
      </c>
      <c r="C17" s="10">
        <v>1600</v>
      </c>
      <c r="D17" s="7">
        <v>0</v>
      </c>
      <c r="E17" s="6">
        <v>0</v>
      </c>
      <c r="F17" s="6">
        <v>0</v>
      </c>
      <c r="G17" s="88">
        <v>0</v>
      </c>
    </row>
    <row r="18" spans="2:7" ht="14.25">
      <c r="B18" s="94" t="s">
        <v>78</v>
      </c>
      <c r="C18" s="96">
        <v>65</v>
      </c>
      <c r="D18" s="92">
        <v>0</v>
      </c>
      <c r="E18" s="93">
        <v>0</v>
      </c>
      <c r="F18" s="93">
        <v>0</v>
      </c>
      <c r="G18" s="88">
        <v>0</v>
      </c>
    </row>
    <row r="19" spans="2:7" ht="14.25">
      <c r="B19" s="94" t="s">
        <v>79</v>
      </c>
      <c r="C19" s="96">
        <v>350</v>
      </c>
      <c r="D19" s="95">
        <v>0</v>
      </c>
      <c r="E19" s="96">
        <v>0</v>
      </c>
      <c r="F19" s="96">
        <v>0</v>
      </c>
      <c r="G19" s="88">
        <v>0</v>
      </c>
    </row>
    <row r="20" spans="2:7" ht="14.25">
      <c r="B20" s="94" t="s">
        <v>83</v>
      </c>
      <c r="C20" s="96">
        <f>100-50</f>
        <v>50</v>
      </c>
      <c r="D20" s="95">
        <v>0</v>
      </c>
      <c r="E20" s="96">
        <v>0</v>
      </c>
      <c r="F20" s="96">
        <v>0</v>
      </c>
      <c r="G20" s="88">
        <v>0</v>
      </c>
    </row>
    <row r="21" spans="2:7" ht="14.25">
      <c r="B21" s="94" t="s">
        <v>84</v>
      </c>
      <c r="C21" s="96">
        <v>50</v>
      </c>
      <c r="D21" s="95">
        <v>0</v>
      </c>
      <c r="E21" s="96">
        <v>0</v>
      </c>
      <c r="F21" s="96">
        <v>0</v>
      </c>
      <c r="G21" s="88">
        <v>0</v>
      </c>
    </row>
    <row r="22" spans="2:7" ht="14.25">
      <c r="B22" s="91" t="s">
        <v>85</v>
      </c>
      <c r="C22" s="93">
        <v>60</v>
      </c>
      <c r="D22" s="95">
        <v>0</v>
      </c>
      <c r="E22" s="96">
        <v>0</v>
      </c>
      <c r="F22" s="96">
        <v>0</v>
      </c>
      <c r="G22" s="88">
        <v>0</v>
      </c>
    </row>
    <row r="23" spans="2:7" ht="14.25">
      <c r="B23" s="94" t="s">
        <v>185</v>
      </c>
      <c r="C23" s="96">
        <f>200+100+30+20-325</f>
        <v>25</v>
      </c>
      <c r="D23" s="95">
        <v>0</v>
      </c>
      <c r="E23" s="96">
        <v>0</v>
      </c>
      <c r="F23" s="96">
        <v>0</v>
      </c>
      <c r="G23" s="88">
        <v>0</v>
      </c>
    </row>
    <row r="24" spans="2:7" ht="14.25">
      <c r="B24" s="66" t="s">
        <v>87</v>
      </c>
      <c r="C24" s="10">
        <v>46</v>
      </c>
      <c r="D24" s="6">
        <v>0</v>
      </c>
      <c r="E24" s="6">
        <v>0</v>
      </c>
      <c r="F24" s="6">
        <v>0</v>
      </c>
      <c r="G24" s="60">
        <v>0</v>
      </c>
    </row>
    <row r="25" spans="2:7" ht="14.25">
      <c r="B25" s="94" t="s">
        <v>86</v>
      </c>
      <c r="C25" s="10">
        <v>50</v>
      </c>
      <c r="D25" s="7">
        <v>0</v>
      </c>
      <c r="E25" s="6">
        <v>0</v>
      </c>
      <c r="F25" s="6">
        <v>0</v>
      </c>
      <c r="G25" s="88">
        <v>0</v>
      </c>
    </row>
    <row r="26" spans="2:7" ht="14.25">
      <c r="B26" s="94" t="s">
        <v>189</v>
      </c>
      <c r="C26" s="96">
        <v>150</v>
      </c>
      <c r="D26" s="92">
        <v>25</v>
      </c>
      <c r="E26" s="93">
        <v>25</v>
      </c>
      <c r="F26" s="6">
        <v>0</v>
      </c>
      <c r="G26" s="88">
        <v>0</v>
      </c>
    </row>
    <row r="27" spans="2:7" ht="14.25">
      <c r="B27" s="97" t="s">
        <v>88</v>
      </c>
      <c r="C27" s="11">
        <v>400</v>
      </c>
      <c r="D27" s="95">
        <v>1105</v>
      </c>
      <c r="E27" s="96">
        <v>0</v>
      </c>
      <c r="F27" s="96">
        <v>0</v>
      </c>
      <c r="G27" s="98">
        <v>0</v>
      </c>
    </row>
    <row r="28" spans="2:7" ht="14.25">
      <c r="B28" s="97" t="s">
        <v>89</v>
      </c>
      <c r="C28" s="11">
        <v>0</v>
      </c>
      <c r="D28" s="95">
        <v>50</v>
      </c>
      <c r="E28" s="96">
        <v>0</v>
      </c>
      <c r="F28" s="96">
        <v>0</v>
      </c>
      <c r="G28" s="98">
        <v>0</v>
      </c>
    </row>
    <row r="29" spans="2:7" ht="14.25">
      <c r="B29" s="97" t="s">
        <v>269</v>
      </c>
      <c r="C29" s="11">
        <v>100</v>
      </c>
      <c r="D29" s="95">
        <v>150</v>
      </c>
      <c r="E29" s="96">
        <v>0</v>
      </c>
      <c r="F29" s="96">
        <v>0</v>
      </c>
      <c r="G29" s="98">
        <v>0</v>
      </c>
    </row>
    <row r="30" spans="2:7" ht="14.25">
      <c r="B30" s="97" t="s">
        <v>90</v>
      </c>
      <c r="C30" s="11">
        <v>0</v>
      </c>
      <c r="D30" s="95">
        <v>125</v>
      </c>
      <c r="E30" s="96">
        <v>0</v>
      </c>
      <c r="F30" s="96">
        <v>0</v>
      </c>
      <c r="G30" s="98">
        <v>0</v>
      </c>
    </row>
    <row r="31" spans="2:7" ht="14.25">
      <c r="B31" s="97" t="s">
        <v>91</v>
      </c>
      <c r="C31" s="11">
        <v>0</v>
      </c>
      <c r="D31" s="95">
        <v>170</v>
      </c>
      <c r="E31" s="96">
        <v>0</v>
      </c>
      <c r="F31" s="96">
        <v>0</v>
      </c>
      <c r="G31" s="98">
        <v>0</v>
      </c>
    </row>
    <row r="32" spans="2:7" ht="14.25">
      <c r="B32" s="97" t="s">
        <v>92</v>
      </c>
      <c r="C32" s="11">
        <v>0</v>
      </c>
      <c r="D32" s="99">
        <v>20</v>
      </c>
      <c r="E32" s="15">
        <v>0</v>
      </c>
      <c r="F32" s="15">
        <v>0</v>
      </c>
      <c r="G32" s="14">
        <v>0</v>
      </c>
    </row>
    <row r="33" spans="2:7" ht="14.25">
      <c r="B33" s="66" t="s">
        <v>194</v>
      </c>
      <c r="C33" s="11">
        <v>200</v>
      </c>
      <c r="D33" s="7">
        <v>0</v>
      </c>
      <c r="E33" s="6">
        <v>0</v>
      </c>
      <c r="F33" s="6">
        <v>0</v>
      </c>
      <c r="G33" s="60">
        <v>0</v>
      </c>
    </row>
    <row r="34" spans="2:7" ht="14.25">
      <c r="B34" s="66" t="s">
        <v>195</v>
      </c>
      <c r="C34" s="11">
        <v>100</v>
      </c>
      <c r="D34" s="7">
        <v>0</v>
      </c>
      <c r="E34" s="6">
        <v>0</v>
      </c>
      <c r="F34" s="6">
        <v>0</v>
      </c>
      <c r="G34" s="60">
        <v>0</v>
      </c>
    </row>
    <row r="35" spans="2:7" ht="14.25">
      <c r="B35" s="290" t="s">
        <v>232</v>
      </c>
      <c r="C35" s="291">
        <v>936</v>
      </c>
      <c r="D35" s="292">
        <v>7316</v>
      </c>
      <c r="E35" s="293">
        <v>0</v>
      </c>
      <c r="F35" s="293">
        <v>0</v>
      </c>
      <c r="G35" s="294">
        <v>0</v>
      </c>
    </row>
    <row r="36" spans="2:7" ht="14.25">
      <c r="B36" s="100" t="s">
        <v>191</v>
      </c>
      <c r="C36" s="95"/>
      <c r="D36" s="92"/>
      <c r="E36" s="93"/>
      <c r="F36" s="6"/>
      <c r="G36" s="88"/>
    </row>
    <row r="37" spans="2:7" ht="14.25">
      <c r="B37" s="281" t="s">
        <v>270</v>
      </c>
      <c r="C37" s="95"/>
      <c r="D37" s="92"/>
      <c r="E37" s="93"/>
      <c r="F37" s="6"/>
      <c r="G37" s="88"/>
    </row>
    <row r="38" spans="2:7" ht="14.25">
      <c r="B38" s="282" t="s">
        <v>73</v>
      </c>
      <c r="C38" s="11">
        <f>1900+90</f>
        <v>1990</v>
      </c>
      <c r="D38" s="7">
        <v>650</v>
      </c>
      <c r="E38" s="6">
        <v>325</v>
      </c>
      <c r="F38" s="6">
        <v>0</v>
      </c>
      <c r="G38" s="88">
        <v>0</v>
      </c>
    </row>
    <row r="39" spans="2:7" ht="14.25">
      <c r="B39" s="283" t="s">
        <v>94</v>
      </c>
      <c r="C39" s="93">
        <f>3750-1900</f>
        <v>1850</v>
      </c>
      <c r="D39" s="92">
        <f>3750-650+200</f>
        <v>3300</v>
      </c>
      <c r="E39" s="93">
        <f>3750-325+400</f>
        <v>3825</v>
      </c>
      <c r="F39" s="93">
        <f>3750-325+63+400</f>
        <v>3888</v>
      </c>
      <c r="G39" s="223">
        <f>3500+400</f>
        <v>3900</v>
      </c>
    </row>
    <row r="40" spans="2:7" ht="14.25">
      <c r="B40" s="282" t="s">
        <v>196</v>
      </c>
      <c r="C40" s="11">
        <v>311</v>
      </c>
      <c r="D40" s="7">
        <v>0</v>
      </c>
      <c r="E40" s="6">
        <v>0</v>
      </c>
      <c r="F40" s="6">
        <v>0</v>
      </c>
      <c r="G40" s="60">
        <v>0</v>
      </c>
    </row>
    <row r="41" spans="2:7" ht="14.25">
      <c r="B41" s="283" t="s">
        <v>80</v>
      </c>
      <c r="C41" s="96">
        <f>300-300</f>
        <v>0</v>
      </c>
      <c r="D41" s="95">
        <f>600-300</f>
        <v>300</v>
      </c>
      <c r="E41" s="96">
        <v>0</v>
      </c>
      <c r="F41" s="96">
        <v>0</v>
      </c>
      <c r="G41" s="88">
        <v>0</v>
      </c>
    </row>
    <row r="42" spans="2:7" ht="14.25">
      <c r="B42" s="278" t="s">
        <v>82</v>
      </c>
      <c r="C42" s="95">
        <v>70</v>
      </c>
      <c r="D42" s="95">
        <f>70-70</f>
        <v>0</v>
      </c>
      <c r="E42" s="96">
        <v>70</v>
      </c>
      <c r="F42" s="96">
        <v>0</v>
      </c>
      <c r="G42" s="88">
        <v>0</v>
      </c>
    </row>
    <row r="43" spans="2:7" ht="14.25">
      <c r="B43" s="66" t="s">
        <v>75</v>
      </c>
      <c r="C43" s="11">
        <f>175+480+134+25</f>
        <v>814</v>
      </c>
      <c r="D43" s="92">
        <f>600+100</f>
        <v>700</v>
      </c>
      <c r="E43" s="93">
        <f>600+100</f>
        <v>700</v>
      </c>
      <c r="F43" s="93">
        <f>600+100</f>
        <v>700</v>
      </c>
      <c r="G43" s="223">
        <f>600+100</f>
        <v>700</v>
      </c>
    </row>
    <row r="44" spans="2:7" ht="14.25">
      <c r="B44" s="252" t="s">
        <v>81</v>
      </c>
      <c r="C44" s="96">
        <v>100</v>
      </c>
      <c r="D44" s="92">
        <v>100</v>
      </c>
      <c r="E44" s="93">
        <v>100</v>
      </c>
      <c r="F44" s="93">
        <v>0</v>
      </c>
      <c r="G44" s="88">
        <v>0</v>
      </c>
    </row>
    <row r="45" spans="2:7" ht="14.25">
      <c r="B45" s="69" t="s">
        <v>192</v>
      </c>
      <c r="C45" s="8">
        <f>SUM(C15:C44)</f>
        <v>10943</v>
      </c>
      <c r="D45" s="8">
        <f>SUM(D15:D44)</f>
        <v>14011</v>
      </c>
      <c r="E45" s="8">
        <f>SUM(E15:E44)</f>
        <v>5045</v>
      </c>
      <c r="F45" s="8">
        <f>SUM(F15:F44)</f>
        <v>4588</v>
      </c>
      <c r="G45" s="68">
        <f>SUM(G15:G44)</f>
        <v>4600</v>
      </c>
    </row>
    <row r="46" spans="2:7" ht="14.25">
      <c r="B46" s="89"/>
      <c r="C46" s="11"/>
      <c r="D46" s="7"/>
      <c r="E46" s="6"/>
      <c r="F46" s="6"/>
      <c r="G46" s="88"/>
    </row>
    <row r="47" spans="2:7" ht="15" thickBot="1">
      <c r="B47" s="101" t="s">
        <v>93</v>
      </c>
      <c r="C47" s="102">
        <f>C45+C10</f>
        <v>16072</v>
      </c>
      <c r="D47" s="102">
        <f>D45+D10</f>
        <v>19011</v>
      </c>
      <c r="E47" s="102">
        <f>E45+E10</f>
        <v>10045</v>
      </c>
      <c r="F47" s="102">
        <f>F45+F10</f>
        <v>9588</v>
      </c>
      <c r="G47" s="103">
        <f>G45+G10</f>
        <v>9600</v>
      </c>
    </row>
  </sheetData>
  <mergeCells count="2">
    <mergeCell ref="A1:G1"/>
    <mergeCell ref="A3:G3"/>
  </mergeCells>
  <printOptions horizontalCentered="1" verticalCentered="1"/>
  <pageMargins left="0.7480314960629921" right="0.7480314960629921" top="0.5118110236220472" bottom="0.7086614173228347" header="0.5118110236220472" footer="0.2362204724409449"/>
  <pageSetup firstPageNumber="171" useFirstPageNumber="1" horizontalDpi="600" verticalDpi="600" orientation="landscape" r:id="rId1"/>
  <headerFooter alignWithMargins="0">
    <oddHeader>&amp;R&amp;"Arial,Bold"&amp;9Annex B to Appendix H(ii)</oddHeader>
    <oddFooter>&amp;L&amp;F\&amp;A&amp;R&amp;P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70"/>
  <sheetViews>
    <sheetView view="pageBreakPreview" zoomScale="60" workbookViewId="0" topLeftCell="A14">
      <selection activeCell="B29" sqref="B29:G29"/>
    </sheetView>
  </sheetViews>
  <sheetFormatPr defaultColWidth="9.140625" defaultRowHeight="12.75"/>
  <cols>
    <col min="1" max="1" width="5.7109375" style="1" customWidth="1"/>
    <col min="2" max="2" width="54.28125" style="1" bestFit="1" customWidth="1"/>
    <col min="3" max="5" width="12.7109375" style="2" customWidth="1"/>
    <col min="6" max="7" width="12.7109375" style="1" customWidth="1"/>
    <col min="8" max="16384" width="9.140625" style="1" customWidth="1"/>
  </cols>
  <sheetData>
    <row r="1" spans="1:7" ht="18">
      <c r="A1" s="302" t="s">
        <v>71</v>
      </c>
      <c r="B1" s="302"/>
      <c r="C1" s="302"/>
      <c r="D1" s="302"/>
      <c r="E1" s="302"/>
      <c r="F1" s="302"/>
      <c r="G1" s="302"/>
    </row>
    <row r="2" spans="1:6" ht="18">
      <c r="A2" s="17"/>
      <c r="B2" s="18"/>
      <c r="C2" s="18"/>
      <c r="D2" s="18"/>
      <c r="E2" s="18"/>
      <c r="F2" s="18"/>
    </row>
    <row r="3" spans="1:7" ht="18">
      <c r="A3" s="302" t="s">
        <v>95</v>
      </c>
      <c r="B3" s="302"/>
      <c r="C3" s="302"/>
      <c r="D3" s="302"/>
      <c r="E3" s="302"/>
      <c r="F3" s="302"/>
      <c r="G3" s="302"/>
    </row>
    <row r="4" ht="15" thickBot="1"/>
    <row r="5" spans="2:7" ht="14.25">
      <c r="B5" s="113"/>
      <c r="C5" s="78" t="s">
        <v>0</v>
      </c>
      <c r="D5" s="78" t="s">
        <v>1</v>
      </c>
      <c r="E5" s="78" t="s">
        <v>2</v>
      </c>
      <c r="F5" s="78" t="s">
        <v>37</v>
      </c>
      <c r="G5" s="53" t="s">
        <v>63</v>
      </c>
    </row>
    <row r="6" spans="2:7" ht="14.25">
      <c r="B6" s="114"/>
      <c r="C6" s="3" t="s">
        <v>258</v>
      </c>
      <c r="D6" s="3" t="s">
        <v>260</v>
      </c>
      <c r="E6" s="3" t="s">
        <v>260</v>
      </c>
      <c r="F6" s="3" t="s">
        <v>260</v>
      </c>
      <c r="G6" s="56" t="s">
        <v>260</v>
      </c>
    </row>
    <row r="7" spans="2:7" ht="14.25">
      <c r="B7" s="114" t="s">
        <v>3</v>
      </c>
      <c r="C7" s="3" t="s">
        <v>259</v>
      </c>
      <c r="D7" s="3" t="s">
        <v>261</v>
      </c>
      <c r="E7" s="3" t="s">
        <v>261</v>
      </c>
      <c r="F7" s="3" t="s">
        <v>261</v>
      </c>
      <c r="G7" s="56" t="s">
        <v>261</v>
      </c>
    </row>
    <row r="8" spans="2:7" ht="14.25">
      <c r="B8" s="115"/>
      <c r="C8" s="47" t="s">
        <v>5</v>
      </c>
      <c r="D8" s="47" t="s">
        <v>5</v>
      </c>
      <c r="E8" s="47" t="s">
        <v>5</v>
      </c>
      <c r="F8" s="47" t="s">
        <v>5</v>
      </c>
      <c r="G8" s="58" t="s">
        <v>5</v>
      </c>
    </row>
    <row r="9" spans="2:7" ht="14.25">
      <c r="B9" s="114"/>
      <c r="C9" s="253"/>
      <c r="D9" s="19"/>
      <c r="E9" s="19"/>
      <c r="F9" s="19"/>
      <c r="G9" s="84"/>
    </row>
    <row r="10" spans="2:7" ht="25.5">
      <c r="B10" s="273" t="s">
        <v>255</v>
      </c>
      <c r="C10" s="25"/>
      <c r="D10" s="50"/>
      <c r="E10" s="50"/>
      <c r="F10" s="50"/>
      <c r="G10" s="107"/>
    </row>
    <row r="11" spans="2:7" ht="14.25">
      <c r="B11" s="69"/>
      <c r="C11" s="25"/>
      <c r="D11" s="50"/>
      <c r="E11" s="50"/>
      <c r="F11" s="50"/>
      <c r="G11" s="107"/>
    </row>
    <row r="12" spans="2:7" ht="14.25">
      <c r="B12" s="69" t="s">
        <v>190</v>
      </c>
      <c r="C12" s="10"/>
      <c r="D12" s="7"/>
      <c r="E12" s="7"/>
      <c r="F12" s="7"/>
      <c r="G12" s="88"/>
    </row>
    <row r="13" spans="2:7" ht="14.25">
      <c r="B13" s="106" t="s">
        <v>108</v>
      </c>
      <c r="C13" s="10">
        <v>0</v>
      </c>
      <c r="D13" s="7">
        <v>50</v>
      </c>
      <c r="E13" s="7">
        <v>0</v>
      </c>
      <c r="F13" s="7">
        <v>0</v>
      </c>
      <c r="G13" s="88">
        <v>0</v>
      </c>
    </row>
    <row r="14" spans="2:7" ht="14.25">
      <c r="B14" s="106" t="s">
        <v>112</v>
      </c>
      <c r="C14" s="10">
        <v>0</v>
      </c>
      <c r="D14" s="7">
        <v>25</v>
      </c>
      <c r="E14" s="7">
        <v>0</v>
      </c>
      <c r="F14" s="7">
        <v>0</v>
      </c>
      <c r="G14" s="88">
        <v>0</v>
      </c>
    </row>
    <row r="15" spans="2:7" ht="14.25">
      <c r="B15" s="106" t="s">
        <v>100</v>
      </c>
      <c r="C15" s="10">
        <v>26</v>
      </c>
      <c r="D15" s="7">
        <v>15</v>
      </c>
      <c r="E15" s="7">
        <v>0</v>
      </c>
      <c r="F15" s="7">
        <v>500</v>
      </c>
      <c r="G15" s="88">
        <v>0</v>
      </c>
    </row>
    <row r="16" spans="2:7" ht="14.25">
      <c r="B16" s="106" t="s">
        <v>107</v>
      </c>
      <c r="C16" s="10">
        <v>0</v>
      </c>
      <c r="D16" s="7">
        <v>30</v>
      </c>
      <c r="E16" s="7">
        <v>0</v>
      </c>
      <c r="F16" s="7">
        <v>0</v>
      </c>
      <c r="G16" s="88">
        <v>0</v>
      </c>
    </row>
    <row r="17" spans="2:7" ht="14.25">
      <c r="B17" s="106" t="s">
        <v>101</v>
      </c>
      <c r="C17" s="10">
        <v>10</v>
      </c>
      <c r="D17" s="7">
        <v>0</v>
      </c>
      <c r="E17" s="7">
        <v>0</v>
      </c>
      <c r="F17" s="7">
        <v>0</v>
      </c>
      <c r="G17" s="88">
        <v>0</v>
      </c>
    </row>
    <row r="18" spans="2:7" ht="14.25">
      <c r="B18" s="106" t="s">
        <v>271</v>
      </c>
      <c r="C18" s="10">
        <v>20</v>
      </c>
      <c r="D18" s="7">
        <v>600</v>
      </c>
      <c r="E18" s="7">
        <v>400</v>
      </c>
      <c r="F18" s="7">
        <v>0</v>
      </c>
      <c r="G18" s="88">
        <v>0</v>
      </c>
    </row>
    <row r="19" spans="2:7" ht="14.25">
      <c r="B19" s="106" t="s">
        <v>102</v>
      </c>
      <c r="C19" s="10">
        <v>86</v>
      </c>
      <c r="D19" s="7">
        <v>36</v>
      </c>
      <c r="E19" s="7">
        <v>0</v>
      </c>
      <c r="F19" s="7">
        <v>0</v>
      </c>
      <c r="G19" s="88">
        <v>0</v>
      </c>
    </row>
    <row r="20" spans="2:7" ht="14.25">
      <c r="B20" s="106" t="s">
        <v>103</v>
      </c>
      <c r="C20" s="10">
        <v>4</v>
      </c>
      <c r="D20" s="7">
        <v>15</v>
      </c>
      <c r="E20" s="7"/>
      <c r="F20" s="7">
        <v>0</v>
      </c>
      <c r="G20" s="88">
        <v>0</v>
      </c>
    </row>
    <row r="21" spans="2:7" ht="14.25">
      <c r="B21" s="106" t="s">
        <v>104</v>
      </c>
      <c r="C21" s="10">
        <v>0</v>
      </c>
      <c r="D21" s="7">
        <v>100</v>
      </c>
      <c r="E21" s="7">
        <v>0</v>
      </c>
      <c r="F21" s="7">
        <v>0</v>
      </c>
      <c r="G21" s="88">
        <v>0</v>
      </c>
    </row>
    <row r="22" spans="2:7" ht="14.25">
      <c r="B22" s="106" t="s">
        <v>113</v>
      </c>
      <c r="C22" s="10">
        <v>0</v>
      </c>
      <c r="D22" s="7">
        <v>30</v>
      </c>
      <c r="E22" s="7">
        <v>0</v>
      </c>
      <c r="F22" s="7">
        <v>0</v>
      </c>
      <c r="G22" s="88">
        <v>0</v>
      </c>
    </row>
    <row r="23" spans="2:7" ht="14.25">
      <c r="B23" s="106" t="s">
        <v>114</v>
      </c>
      <c r="C23" s="10">
        <v>0</v>
      </c>
      <c r="D23" s="7">
        <v>30</v>
      </c>
      <c r="E23" s="7">
        <v>0</v>
      </c>
      <c r="F23" s="7">
        <v>0</v>
      </c>
      <c r="G23" s="88">
        <v>0</v>
      </c>
    </row>
    <row r="24" spans="2:7" ht="14.25">
      <c r="B24" s="106" t="s">
        <v>115</v>
      </c>
      <c r="C24" s="10">
        <v>0</v>
      </c>
      <c r="D24" s="7">
        <v>20</v>
      </c>
      <c r="E24" s="7">
        <v>0</v>
      </c>
      <c r="F24" s="7">
        <v>0</v>
      </c>
      <c r="G24" s="88">
        <v>0</v>
      </c>
    </row>
    <row r="25" spans="2:7" ht="14.25">
      <c r="B25" s="106" t="s">
        <v>116</v>
      </c>
      <c r="C25" s="10">
        <v>0</v>
      </c>
      <c r="D25" s="7">
        <v>20</v>
      </c>
      <c r="E25" s="7">
        <v>0</v>
      </c>
      <c r="F25" s="7">
        <v>300</v>
      </c>
      <c r="G25" s="88">
        <v>0</v>
      </c>
    </row>
    <row r="26" spans="2:7" ht="14.25">
      <c r="B26" s="106" t="s">
        <v>109</v>
      </c>
      <c r="C26" s="10">
        <v>0</v>
      </c>
      <c r="D26" s="7">
        <v>15</v>
      </c>
      <c r="E26" s="7">
        <v>0</v>
      </c>
      <c r="F26" s="7">
        <v>0</v>
      </c>
      <c r="G26" s="88">
        <v>0</v>
      </c>
    </row>
    <row r="27" spans="2:7" ht="14.25">
      <c r="B27" s="106" t="s">
        <v>193</v>
      </c>
      <c r="C27" s="10">
        <v>20</v>
      </c>
      <c r="D27" s="11">
        <f>270-250</f>
        <v>20</v>
      </c>
      <c r="E27" s="7">
        <v>0</v>
      </c>
      <c r="F27" s="7">
        <v>0</v>
      </c>
      <c r="G27" s="88">
        <v>0</v>
      </c>
    </row>
    <row r="28" spans="2:7" ht="14.25">
      <c r="B28" s="261" t="s">
        <v>198</v>
      </c>
      <c r="C28" s="254">
        <v>31</v>
      </c>
      <c r="D28" s="255">
        <v>0</v>
      </c>
      <c r="E28" s="255">
        <v>0</v>
      </c>
      <c r="F28" s="255">
        <v>0</v>
      </c>
      <c r="G28" s="256">
        <v>0</v>
      </c>
    </row>
    <row r="29" spans="2:7" ht="14.25">
      <c r="B29" s="295" t="s">
        <v>199</v>
      </c>
      <c r="C29" s="296">
        <v>47</v>
      </c>
      <c r="D29" s="297">
        <v>0</v>
      </c>
      <c r="E29" s="297">
        <v>0</v>
      </c>
      <c r="F29" s="297">
        <v>0</v>
      </c>
      <c r="G29" s="298">
        <v>0</v>
      </c>
    </row>
    <row r="30" spans="2:7" ht="14.25">
      <c r="B30" s="100" t="s">
        <v>191</v>
      </c>
      <c r="C30" s="10"/>
      <c r="D30" s="7"/>
      <c r="E30" s="7"/>
      <c r="F30" s="7"/>
      <c r="G30" s="88"/>
    </row>
    <row r="31" spans="2:7" ht="14.25">
      <c r="B31" s="106" t="s">
        <v>96</v>
      </c>
      <c r="C31" s="10">
        <f>99+96</f>
        <v>195</v>
      </c>
      <c r="D31" s="7">
        <v>0</v>
      </c>
      <c r="E31" s="7">
        <v>0</v>
      </c>
      <c r="F31" s="7">
        <v>0</v>
      </c>
      <c r="G31" s="88">
        <v>100</v>
      </c>
    </row>
    <row r="32" spans="2:7" ht="14.25">
      <c r="B32" s="106" t="s">
        <v>97</v>
      </c>
      <c r="C32" s="10">
        <v>86</v>
      </c>
      <c r="D32" s="7">
        <v>150</v>
      </c>
      <c r="E32" s="7">
        <v>150</v>
      </c>
      <c r="F32" s="7">
        <v>150</v>
      </c>
      <c r="G32" s="88">
        <v>150</v>
      </c>
    </row>
    <row r="33" spans="2:7" ht="14.25">
      <c r="B33" s="106" t="s">
        <v>98</v>
      </c>
      <c r="C33" s="10">
        <v>100</v>
      </c>
      <c r="D33" s="7">
        <v>0</v>
      </c>
      <c r="E33" s="7">
        <v>0</v>
      </c>
      <c r="F33" s="7">
        <v>0</v>
      </c>
      <c r="G33" s="88">
        <v>100</v>
      </c>
    </row>
    <row r="34" spans="2:7" ht="14.25">
      <c r="B34" s="106" t="s">
        <v>99</v>
      </c>
      <c r="C34" s="10">
        <v>108</v>
      </c>
      <c r="D34" s="7">
        <v>0</v>
      </c>
      <c r="E34" s="7">
        <v>0</v>
      </c>
      <c r="F34" s="7">
        <v>0</v>
      </c>
      <c r="G34" s="88">
        <v>0</v>
      </c>
    </row>
    <row r="35" spans="2:7" ht="14.25">
      <c r="B35" s="106" t="s">
        <v>105</v>
      </c>
      <c r="C35" s="10">
        <v>132</v>
      </c>
      <c r="D35" s="7">
        <v>0</v>
      </c>
      <c r="E35" s="7">
        <v>0</v>
      </c>
      <c r="F35" s="7">
        <v>0</v>
      </c>
      <c r="G35" s="88">
        <v>0</v>
      </c>
    </row>
    <row r="36" spans="2:7" ht="14.25">
      <c r="B36" s="106" t="s">
        <v>106</v>
      </c>
      <c r="C36" s="10">
        <v>130</v>
      </c>
      <c r="D36" s="7">
        <v>0</v>
      </c>
      <c r="E36" s="7">
        <v>0</v>
      </c>
      <c r="F36" s="7">
        <v>0</v>
      </c>
      <c r="G36" s="88">
        <v>0</v>
      </c>
    </row>
    <row r="37" spans="2:7" ht="14.25">
      <c r="B37" s="106" t="s">
        <v>111</v>
      </c>
      <c r="C37" s="10">
        <v>162</v>
      </c>
      <c r="D37" s="7">
        <v>0</v>
      </c>
      <c r="E37" s="7">
        <v>0</v>
      </c>
      <c r="F37" s="7">
        <v>0</v>
      </c>
      <c r="G37" s="88">
        <v>0</v>
      </c>
    </row>
    <row r="38" spans="2:7" ht="14.25">
      <c r="B38" s="89" t="s">
        <v>192</v>
      </c>
      <c r="C38" s="8">
        <f>SUM(C13:C37)</f>
        <v>1157</v>
      </c>
      <c r="D38" s="8">
        <f>SUM(D13:D37)</f>
        <v>1156</v>
      </c>
      <c r="E38" s="8">
        <f>SUM(E13:E37)</f>
        <v>550</v>
      </c>
      <c r="F38" s="8">
        <f>SUM(F13:F37)</f>
        <v>950</v>
      </c>
      <c r="G38" s="68">
        <f>SUM(G13:G37)</f>
        <v>350</v>
      </c>
    </row>
    <row r="39" spans="2:7" ht="14.25">
      <c r="B39" s="116"/>
      <c r="C39" s="25"/>
      <c r="D39" s="43"/>
      <c r="E39" s="43"/>
      <c r="F39" s="43"/>
      <c r="G39" s="90"/>
    </row>
    <row r="40" spans="1:7" s="40" customFormat="1" ht="15" thickBot="1">
      <c r="A40" s="118"/>
      <c r="B40" s="119" t="s">
        <v>110</v>
      </c>
      <c r="C40" s="257">
        <f>C38</f>
        <v>1157</v>
      </c>
      <c r="D40" s="257">
        <f>D38</f>
        <v>1156</v>
      </c>
      <c r="E40" s="257">
        <f>E38</f>
        <v>550</v>
      </c>
      <c r="F40" s="257">
        <f>F38</f>
        <v>950</v>
      </c>
      <c r="G40" s="274">
        <f>G38</f>
        <v>350</v>
      </c>
    </row>
    <row r="41" spans="1:6" s="40" customFormat="1" ht="14.25">
      <c r="A41" s="118"/>
      <c r="B41" s="105"/>
      <c r="C41" s="81"/>
      <c r="D41" s="81"/>
      <c r="E41" s="81"/>
      <c r="F41" s="81"/>
    </row>
    <row r="42" spans="1:8" s="40" customFormat="1" ht="14.25">
      <c r="A42" s="118"/>
      <c r="B42" s="104"/>
      <c r="C42" s="81"/>
      <c r="D42" s="81"/>
      <c r="E42" s="81"/>
      <c r="F42" s="81"/>
      <c r="H42" s="120"/>
    </row>
    <row r="43" spans="1:6" s="40" customFormat="1" ht="14.25">
      <c r="A43" s="118"/>
      <c r="B43" s="105"/>
      <c r="C43" s="81"/>
      <c r="D43" s="81"/>
      <c r="E43" s="81"/>
      <c r="F43" s="81"/>
    </row>
    <row r="44" spans="1:6" s="40" customFormat="1" ht="14.25">
      <c r="A44" s="118"/>
      <c r="B44" s="105"/>
      <c r="C44" s="81"/>
      <c r="D44" s="81"/>
      <c r="E44" s="81"/>
      <c r="F44" s="81"/>
    </row>
    <row r="45" spans="1:6" s="40" customFormat="1" ht="14.25">
      <c r="A45" s="118"/>
      <c r="B45" s="105"/>
      <c r="C45" s="81"/>
      <c r="D45" s="81"/>
      <c r="E45" s="81"/>
      <c r="F45" s="81"/>
    </row>
    <row r="46" spans="1:6" s="40" customFormat="1" ht="14.25">
      <c r="A46" s="118"/>
      <c r="B46" s="105"/>
      <c r="C46" s="81"/>
      <c r="D46" s="81"/>
      <c r="E46" s="81"/>
      <c r="F46" s="81"/>
    </row>
    <row r="47" spans="1:6" s="40" customFormat="1" ht="14.25">
      <c r="A47" s="118"/>
      <c r="B47" s="105"/>
      <c r="C47" s="81"/>
      <c r="D47" s="81"/>
      <c r="E47" s="81"/>
      <c r="F47" s="81"/>
    </row>
    <row r="48" spans="1:6" s="40" customFormat="1" ht="14.25">
      <c r="A48" s="118"/>
      <c r="B48" s="104"/>
      <c r="C48" s="83"/>
      <c r="D48" s="83"/>
      <c r="E48" s="83"/>
      <c r="F48" s="83"/>
    </row>
    <row r="49" spans="1:6" s="40" customFormat="1" ht="14.25">
      <c r="A49" s="118"/>
      <c r="B49" s="105"/>
      <c r="C49" s="81"/>
      <c r="D49" s="81"/>
      <c r="E49" s="81"/>
      <c r="F49" s="81"/>
    </row>
    <row r="50" spans="1:6" s="40" customFormat="1" ht="14.25">
      <c r="A50" s="118"/>
      <c r="B50" s="105"/>
      <c r="C50" s="81"/>
      <c r="D50" s="81"/>
      <c r="E50" s="81"/>
      <c r="F50" s="81"/>
    </row>
    <row r="51" spans="1:6" s="40" customFormat="1" ht="14.25">
      <c r="A51" s="118"/>
      <c r="B51" s="105"/>
      <c r="C51" s="81"/>
      <c r="D51" s="81"/>
      <c r="E51" s="81"/>
      <c r="F51" s="81"/>
    </row>
    <row r="52" spans="1:6" s="40" customFormat="1" ht="14.25">
      <c r="A52" s="118"/>
      <c r="B52" s="105"/>
      <c r="C52" s="81"/>
      <c r="D52" s="81"/>
      <c r="E52" s="81"/>
      <c r="F52" s="81"/>
    </row>
    <row r="53" spans="1:6" s="40" customFormat="1" ht="14.25">
      <c r="A53" s="118"/>
      <c r="B53" s="83"/>
      <c r="C53" s="83"/>
      <c r="D53" s="83"/>
      <c r="E53" s="83"/>
      <c r="F53" s="83"/>
    </row>
    <row r="54" spans="1:6" s="40" customFormat="1" ht="14.25">
      <c r="A54" s="118"/>
      <c r="B54" s="83"/>
      <c r="C54" s="83"/>
      <c r="D54" s="83"/>
      <c r="E54" s="83"/>
      <c r="F54" s="83"/>
    </row>
    <row r="55" spans="1:6" s="40" customFormat="1" ht="14.25">
      <c r="A55" s="118"/>
      <c r="B55" s="83"/>
      <c r="C55" s="83"/>
      <c r="D55" s="83"/>
      <c r="E55" s="83"/>
      <c r="F55" s="83"/>
    </row>
    <row r="56" spans="1:6" s="40" customFormat="1" ht="10.5" customHeight="1">
      <c r="A56" s="118"/>
      <c r="B56" s="105"/>
      <c r="C56" s="83"/>
      <c r="D56" s="83"/>
      <c r="E56" s="83"/>
      <c r="F56" s="118"/>
    </row>
    <row r="57" spans="1:6" s="40" customFormat="1" ht="14.25">
      <c r="A57" s="121"/>
      <c r="B57" s="121"/>
      <c r="C57" s="121"/>
      <c r="D57" s="121"/>
      <c r="E57" s="121"/>
      <c r="F57" s="121"/>
    </row>
    <row r="58" spans="1:6" s="40" customFormat="1" ht="18">
      <c r="A58" s="303"/>
      <c r="B58" s="303"/>
      <c r="C58" s="303"/>
      <c r="D58" s="303"/>
      <c r="E58" s="303"/>
      <c r="F58" s="303"/>
    </row>
    <row r="59" spans="1:6" s="40" customFormat="1" ht="14.25">
      <c r="A59" s="118"/>
      <c r="B59" s="118"/>
      <c r="C59" s="122"/>
      <c r="D59" s="122"/>
      <c r="E59" s="122"/>
      <c r="F59" s="118"/>
    </row>
    <row r="60" spans="1:6" s="40" customFormat="1" ht="14.25">
      <c r="A60" s="118"/>
      <c r="B60" s="80"/>
      <c r="C60" s="79"/>
      <c r="D60" s="79"/>
      <c r="E60" s="79"/>
      <c r="F60" s="79"/>
    </row>
    <row r="61" spans="1:6" s="40" customFormat="1" ht="14.25">
      <c r="A61" s="118"/>
      <c r="B61" s="80"/>
      <c r="C61" s="80"/>
      <c r="D61" s="80"/>
      <c r="E61" s="80"/>
      <c r="F61" s="80"/>
    </row>
    <row r="62" spans="1:6" s="40" customFormat="1" ht="14.25">
      <c r="A62" s="118"/>
      <c r="B62" s="80"/>
      <c r="C62" s="80"/>
      <c r="D62" s="80"/>
      <c r="E62" s="80"/>
      <c r="F62" s="80"/>
    </row>
    <row r="63" spans="1:6" s="40" customFormat="1" ht="14.25">
      <c r="A63" s="118"/>
      <c r="B63" s="80"/>
      <c r="C63" s="123"/>
      <c r="D63" s="80"/>
      <c r="E63" s="80"/>
      <c r="F63" s="80"/>
    </row>
    <row r="64" spans="1:6" s="40" customFormat="1" ht="14.25">
      <c r="A64" s="118"/>
      <c r="B64" s="80"/>
      <c r="C64" s="79"/>
      <c r="D64" s="79"/>
      <c r="E64" s="79"/>
      <c r="F64" s="79"/>
    </row>
    <row r="65" spans="1:6" s="40" customFormat="1" ht="14.25">
      <c r="A65" s="118"/>
      <c r="B65" s="124"/>
      <c r="C65" s="79"/>
      <c r="D65" s="79"/>
      <c r="E65" s="79"/>
      <c r="F65" s="79"/>
    </row>
    <row r="66" spans="1:6" s="40" customFormat="1" ht="14.25">
      <c r="A66" s="118"/>
      <c r="B66" s="124"/>
      <c r="C66" s="81"/>
      <c r="D66" s="81"/>
      <c r="E66" s="81"/>
      <c r="F66" s="81"/>
    </row>
    <row r="67" spans="1:6" s="40" customFormat="1" ht="14.25">
      <c r="A67" s="118"/>
      <c r="B67" s="125"/>
      <c r="C67" s="81"/>
      <c r="D67" s="81"/>
      <c r="E67" s="81"/>
      <c r="F67" s="81"/>
    </row>
    <row r="68" spans="1:6" s="40" customFormat="1" ht="14.25">
      <c r="A68" s="118"/>
      <c r="B68" s="125"/>
      <c r="C68" s="81"/>
      <c r="D68" s="81"/>
      <c r="E68" s="81"/>
      <c r="F68" s="81"/>
    </row>
    <row r="69" spans="1:6" s="40" customFormat="1" ht="14.25">
      <c r="A69" s="118"/>
      <c r="B69" s="124"/>
      <c r="C69" s="81"/>
      <c r="D69" s="81"/>
      <c r="E69" s="81"/>
      <c r="F69" s="81"/>
    </row>
    <row r="70" spans="1:6" s="40" customFormat="1" ht="14.25">
      <c r="A70" s="118"/>
      <c r="B70" s="83"/>
      <c r="C70" s="82"/>
      <c r="D70" s="82"/>
      <c r="E70" s="82"/>
      <c r="F70" s="82"/>
    </row>
    <row r="71" spans="1:6" s="40" customFormat="1" ht="14.25">
      <c r="A71" s="118"/>
      <c r="B71" s="124"/>
      <c r="C71" s="81"/>
      <c r="D71" s="81"/>
      <c r="E71" s="81"/>
      <c r="F71" s="81"/>
    </row>
    <row r="72" spans="1:6" s="40" customFormat="1" ht="14.25">
      <c r="A72" s="118"/>
      <c r="B72" s="104"/>
      <c r="C72" s="81"/>
      <c r="D72" s="81"/>
      <c r="E72" s="81"/>
      <c r="F72" s="81"/>
    </row>
    <row r="73" spans="1:6" s="40" customFormat="1" ht="14.25">
      <c r="A73" s="118"/>
      <c r="B73" s="105"/>
      <c r="C73" s="81"/>
      <c r="D73" s="81"/>
      <c r="E73" s="81"/>
      <c r="F73" s="81"/>
    </row>
    <row r="74" spans="1:6" s="40" customFormat="1" ht="14.25">
      <c r="A74" s="118"/>
      <c r="B74" s="105"/>
      <c r="C74" s="81"/>
      <c r="D74" s="81"/>
      <c r="E74" s="81"/>
      <c r="F74" s="81"/>
    </row>
    <row r="75" spans="1:6" s="40" customFormat="1" ht="14.25">
      <c r="A75" s="118"/>
      <c r="B75" s="105"/>
      <c r="C75" s="81"/>
      <c r="D75" s="81"/>
      <c r="E75" s="81"/>
      <c r="F75" s="81"/>
    </row>
    <row r="76" spans="1:6" s="40" customFormat="1" ht="14.25">
      <c r="A76" s="118"/>
      <c r="B76" s="83"/>
      <c r="C76" s="83"/>
      <c r="D76" s="83"/>
      <c r="E76" s="83"/>
      <c r="F76" s="83"/>
    </row>
    <row r="77" spans="1:6" s="40" customFormat="1" ht="14.25">
      <c r="A77" s="118"/>
      <c r="B77" s="83"/>
      <c r="C77" s="83"/>
      <c r="D77" s="83"/>
      <c r="E77" s="83"/>
      <c r="F77" s="83"/>
    </row>
    <row r="78" spans="1:6" ht="14.25">
      <c r="A78" s="126"/>
      <c r="B78" s="126"/>
      <c r="C78" s="127"/>
      <c r="D78" s="127"/>
      <c r="E78" s="127"/>
      <c r="F78" s="126"/>
    </row>
    <row r="79" spans="1:6" ht="14.25">
      <c r="A79" s="126"/>
      <c r="B79" s="126"/>
      <c r="C79" s="127"/>
      <c r="D79" s="127"/>
      <c r="E79" s="127"/>
      <c r="F79" s="126"/>
    </row>
    <row r="80" spans="1:8" ht="14.25" customHeight="1">
      <c r="A80" s="126"/>
      <c r="B80" s="128"/>
      <c r="C80" s="128"/>
      <c r="D80" s="128"/>
      <c r="E80" s="128"/>
      <c r="F80" s="128"/>
      <c r="G80" s="30"/>
      <c r="H80" s="30"/>
    </row>
    <row r="81" spans="1:8" ht="14.25" customHeight="1">
      <c r="A81" s="126"/>
      <c r="B81" s="128"/>
      <c r="C81" s="128"/>
      <c r="D81" s="128"/>
      <c r="E81" s="128"/>
      <c r="F81" s="128"/>
      <c r="G81" s="30"/>
      <c r="H81" s="30"/>
    </row>
    <row r="82" spans="1:8" ht="15">
      <c r="A82" s="129"/>
      <c r="B82" s="130"/>
      <c r="C82" s="131"/>
      <c r="D82" s="131"/>
      <c r="E82" s="131"/>
      <c r="F82" s="131"/>
      <c r="G82" s="32"/>
      <c r="H82" s="32"/>
    </row>
    <row r="83" spans="1:6" ht="14.25">
      <c r="A83" s="127"/>
      <c r="B83" s="126"/>
      <c r="C83" s="127"/>
      <c r="D83" s="127"/>
      <c r="E83" s="127"/>
      <c r="F83" s="126"/>
    </row>
    <row r="84" spans="1:6" ht="14.25">
      <c r="A84" s="126"/>
      <c r="B84" s="126"/>
      <c r="C84" s="127"/>
      <c r="D84" s="127"/>
      <c r="E84" s="127"/>
      <c r="F84" s="126"/>
    </row>
    <row r="85" spans="1:6" ht="14.25">
      <c r="A85" s="126"/>
      <c r="B85" s="126"/>
      <c r="C85" s="127"/>
      <c r="D85" s="127"/>
      <c r="E85" s="127"/>
      <c r="F85" s="126"/>
    </row>
    <row r="86" spans="1:6" ht="14.25">
      <c r="A86" s="126"/>
      <c r="B86" s="126"/>
      <c r="C86" s="127"/>
      <c r="D86" s="127"/>
      <c r="E86" s="127"/>
      <c r="F86" s="126"/>
    </row>
    <row r="87" spans="1:6" ht="14.25">
      <c r="A87" s="126"/>
      <c r="B87" s="126"/>
      <c r="C87" s="127"/>
      <c r="D87" s="127"/>
      <c r="E87" s="127"/>
      <c r="F87" s="126"/>
    </row>
    <row r="88" spans="1:6" ht="14.25">
      <c r="A88" s="126"/>
      <c r="B88" s="126"/>
      <c r="C88" s="127"/>
      <c r="D88" s="127"/>
      <c r="E88" s="127"/>
      <c r="F88" s="126"/>
    </row>
    <row r="89" spans="1:6" ht="14.25">
      <c r="A89" s="126"/>
      <c r="B89" s="126"/>
      <c r="C89" s="127"/>
      <c r="D89" s="127"/>
      <c r="E89" s="127"/>
      <c r="F89" s="126"/>
    </row>
    <row r="90" spans="1:6" ht="14.25">
      <c r="A90" s="126"/>
      <c r="B90" s="126"/>
      <c r="C90" s="127"/>
      <c r="D90" s="127"/>
      <c r="E90" s="127"/>
      <c r="F90" s="126"/>
    </row>
    <row r="91" spans="1:6" ht="14.25">
      <c r="A91" s="126"/>
      <c r="B91" s="126"/>
      <c r="C91" s="127"/>
      <c r="D91" s="127"/>
      <c r="E91" s="127"/>
      <c r="F91" s="126"/>
    </row>
    <row r="92" spans="1:6" ht="14.25">
      <c r="A92" s="126"/>
      <c r="B92" s="126"/>
      <c r="C92" s="127"/>
      <c r="D92" s="127"/>
      <c r="E92" s="127"/>
      <c r="F92" s="126"/>
    </row>
    <row r="93" spans="1:6" ht="14.25">
      <c r="A93" s="126"/>
      <c r="B93" s="132"/>
      <c r="C93" s="127"/>
      <c r="D93" s="127"/>
      <c r="E93" s="127"/>
      <c r="F93" s="126"/>
    </row>
    <row r="94" spans="1:6" ht="15">
      <c r="A94" s="126"/>
      <c r="B94" s="133"/>
      <c r="C94" s="127"/>
      <c r="D94" s="127"/>
      <c r="E94" s="127"/>
      <c r="F94" s="126"/>
    </row>
    <row r="95" spans="1:6" ht="14.25">
      <c r="A95" s="126"/>
      <c r="B95" s="126"/>
      <c r="C95" s="127"/>
      <c r="D95" s="127"/>
      <c r="E95" s="127"/>
      <c r="F95" s="126"/>
    </row>
    <row r="96" spans="1:6" ht="14.25">
      <c r="A96" s="126"/>
      <c r="B96" s="126"/>
      <c r="C96" s="127"/>
      <c r="D96" s="127"/>
      <c r="E96" s="127"/>
      <c r="F96" s="126"/>
    </row>
    <row r="97" spans="1:6" ht="14.25">
      <c r="A97" s="126"/>
      <c r="B97" s="126"/>
      <c r="C97" s="127"/>
      <c r="D97" s="127"/>
      <c r="E97" s="127"/>
      <c r="F97" s="126"/>
    </row>
    <row r="98" spans="1:6" ht="14.25">
      <c r="A98" s="126"/>
      <c r="B98" s="126"/>
      <c r="C98" s="127"/>
      <c r="D98" s="127"/>
      <c r="E98" s="127"/>
      <c r="F98" s="126"/>
    </row>
    <row r="99" spans="1:6" ht="14.25">
      <c r="A99" s="126"/>
      <c r="B99" s="126"/>
      <c r="C99" s="127"/>
      <c r="D99" s="127"/>
      <c r="E99" s="127"/>
      <c r="F99" s="126"/>
    </row>
    <row r="100" spans="1:6" ht="14.25">
      <c r="A100" s="126"/>
      <c r="B100" s="126"/>
      <c r="C100" s="127"/>
      <c r="D100" s="127"/>
      <c r="E100" s="127"/>
      <c r="F100" s="126"/>
    </row>
    <row r="101" spans="1:6" ht="14.25">
      <c r="A101" s="126"/>
      <c r="B101" s="126"/>
      <c r="C101" s="127"/>
      <c r="D101" s="127"/>
      <c r="E101" s="127"/>
      <c r="F101" s="126"/>
    </row>
    <row r="102" spans="1:6" ht="14.25">
      <c r="A102" s="126"/>
      <c r="B102" s="126"/>
      <c r="C102" s="127"/>
      <c r="D102" s="127"/>
      <c r="E102" s="127"/>
      <c r="F102" s="126"/>
    </row>
    <row r="103" spans="1:6" ht="14.25">
      <c r="A103" s="126"/>
      <c r="B103" s="126"/>
      <c r="C103" s="127"/>
      <c r="D103" s="127"/>
      <c r="E103" s="127"/>
      <c r="F103" s="126"/>
    </row>
    <row r="104" spans="1:6" ht="14.25">
      <c r="A104" s="126"/>
      <c r="B104" s="126"/>
      <c r="C104" s="127"/>
      <c r="D104" s="127"/>
      <c r="E104" s="127"/>
      <c r="F104" s="126"/>
    </row>
    <row r="105" spans="1:6" ht="14.25">
      <c r="A105" s="126"/>
      <c r="B105" s="126"/>
      <c r="C105" s="127"/>
      <c r="D105" s="127"/>
      <c r="E105" s="127"/>
      <c r="F105" s="126"/>
    </row>
    <row r="106" spans="1:6" ht="14.25">
      <c r="A106" s="126"/>
      <c r="B106" s="126"/>
      <c r="C106" s="127"/>
      <c r="D106" s="127"/>
      <c r="E106" s="127"/>
      <c r="F106" s="126"/>
    </row>
    <row r="107" spans="1:6" ht="14.25">
      <c r="A107" s="126"/>
      <c r="B107" s="126"/>
      <c r="C107" s="127"/>
      <c r="D107" s="127"/>
      <c r="E107" s="127"/>
      <c r="F107" s="126"/>
    </row>
    <row r="108" spans="1:6" ht="14.25">
      <c r="A108" s="126"/>
      <c r="B108" s="126"/>
      <c r="C108" s="127"/>
      <c r="D108" s="127"/>
      <c r="E108" s="127"/>
      <c r="F108" s="126"/>
    </row>
    <row r="109" spans="1:6" ht="14.25">
      <c r="A109" s="126"/>
      <c r="B109" s="126"/>
      <c r="C109" s="127"/>
      <c r="D109" s="127"/>
      <c r="E109" s="127"/>
      <c r="F109" s="126"/>
    </row>
    <row r="110" spans="1:6" ht="14.25">
      <c r="A110" s="126"/>
      <c r="B110" s="126"/>
      <c r="C110" s="127"/>
      <c r="D110" s="127"/>
      <c r="E110" s="127"/>
      <c r="F110" s="126"/>
    </row>
    <row r="111" spans="1:6" ht="14.25">
      <c r="A111" s="126"/>
      <c r="B111" s="126"/>
      <c r="C111" s="127"/>
      <c r="D111" s="127"/>
      <c r="E111" s="127"/>
      <c r="F111" s="126"/>
    </row>
    <row r="112" spans="1:6" ht="14.25">
      <c r="A112" s="126"/>
      <c r="B112" s="126"/>
      <c r="C112" s="127"/>
      <c r="D112" s="127"/>
      <c r="E112" s="127"/>
      <c r="F112" s="126"/>
    </row>
    <row r="113" spans="1:6" ht="14.25">
      <c r="A113" s="126"/>
      <c r="B113" s="126"/>
      <c r="C113" s="127"/>
      <c r="D113" s="127"/>
      <c r="E113" s="127"/>
      <c r="F113" s="126"/>
    </row>
    <row r="114" spans="1:6" ht="14.25">
      <c r="A114" s="126"/>
      <c r="B114" s="126"/>
      <c r="C114" s="127"/>
      <c r="D114" s="127"/>
      <c r="E114" s="127"/>
      <c r="F114" s="126"/>
    </row>
    <row r="115" spans="1:6" ht="14.25">
      <c r="A115" s="126"/>
      <c r="B115" s="126"/>
      <c r="C115" s="127"/>
      <c r="D115" s="127"/>
      <c r="E115" s="127"/>
      <c r="F115" s="126"/>
    </row>
    <row r="116" spans="1:6" ht="14.25">
      <c r="A116" s="126"/>
      <c r="B116" s="126"/>
      <c r="C116" s="127"/>
      <c r="D116" s="127"/>
      <c r="E116" s="127"/>
      <c r="F116" s="126"/>
    </row>
    <row r="117" spans="1:6" ht="14.25">
      <c r="A117" s="126"/>
      <c r="B117" s="126"/>
      <c r="C117" s="127"/>
      <c r="D117" s="127"/>
      <c r="E117" s="127"/>
      <c r="F117" s="126"/>
    </row>
    <row r="118" spans="1:6" ht="14.25">
      <c r="A118" s="126"/>
      <c r="B118" s="126"/>
      <c r="C118" s="127"/>
      <c r="D118" s="127"/>
      <c r="E118" s="127"/>
      <c r="F118" s="126"/>
    </row>
    <row r="119" spans="1:6" ht="14.25">
      <c r="A119" s="126"/>
      <c r="B119" s="126"/>
      <c r="C119" s="127"/>
      <c r="D119" s="127"/>
      <c r="E119" s="127"/>
      <c r="F119" s="126"/>
    </row>
    <row r="120" spans="1:6" ht="14.25">
      <c r="A120" s="126"/>
      <c r="B120" s="126"/>
      <c r="C120" s="127"/>
      <c r="D120" s="127"/>
      <c r="E120" s="127"/>
      <c r="F120" s="126"/>
    </row>
    <row r="121" spans="1:6" ht="14.25">
      <c r="A121" s="126"/>
      <c r="B121" s="126"/>
      <c r="C121" s="127"/>
      <c r="D121" s="127"/>
      <c r="E121" s="127"/>
      <c r="F121" s="126"/>
    </row>
    <row r="122" spans="1:6" ht="14.25">
      <c r="A122" s="126"/>
      <c r="B122" s="126"/>
      <c r="C122" s="127"/>
      <c r="D122" s="127"/>
      <c r="E122" s="127"/>
      <c r="F122" s="126"/>
    </row>
    <row r="123" spans="1:6" ht="14.25">
      <c r="A123" s="126"/>
      <c r="B123" s="126"/>
      <c r="C123" s="127"/>
      <c r="D123" s="127"/>
      <c r="E123" s="127"/>
      <c r="F123" s="126"/>
    </row>
    <row r="124" spans="1:6" ht="14.25">
      <c r="A124" s="126"/>
      <c r="B124" s="126"/>
      <c r="C124" s="127"/>
      <c r="D124" s="127"/>
      <c r="E124" s="127"/>
      <c r="F124" s="126"/>
    </row>
    <row r="125" spans="1:6" ht="14.25">
      <c r="A125" s="126"/>
      <c r="B125" s="126"/>
      <c r="C125" s="127"/>
      <c r="D125" s="127"/>
      <c r="E125" s="127"/>
      <c r="F125" s="126"/>
    </row>
    <row r="126" spans="1:6" ht="14.25">
      <c r="A126" s="126"/>
      <c r="B126" s="126"/>
      <c r="C126" s="127"/>
      <c r="D126" s="127"/>
      <c r="E126" s="127"/>
      <c r="F126" s="126"/>
    </row>
    <row r="127" spans="1:6" ht="14.25">
      <c r="A127" s="126"/>
      <c r="B127" s="126"/>
      <c r="C127" s="127"/>
      <c r="D127" s="127"/>
      <c r="E127" s="127"/>
      <c r="F127" s="126"/>
    </row>
    <row r="128" spans="1:6" ht="14.25">
      <c r="A128" s="126"/>
      <c r="B128" s="126"/>
      <c r="C128" s="127"/>
      <c r="D128" s="127"/>
      <c r="E128" s="127"/>
      <c r="F128" s="126"/>
    </row>
    <row r="129" spans="1:6" ht="14.25">
      <c r="A129" s="126"/>
      <c r="B129" s="126"/>
      <c r="C129" s="127"/>
      <c r="D129" s="127"/>
      <c r="E129" s="127"/>
      <c r="F129" s="126"/>
    </row>
    <row r="130" spans="1:6" ht="14.25">
      <c r="A130" s="126"/>
      <c r="B130" s="126"/>
      <c r="C130" s="127"/>
      <c r="D130" s="127"/>
      <c r="E130" s="127"/>
      <c r="F130" s="126"/>
    </row>
    <row r="131" spans="1:6" ht="14.25">
      <c r="A131" s="126"/>
      <c r="B131" s="126"/>
      <c r="C131" s="127"/>
      <c r="D131" s="127"/>
      <c r="E131" s="127"/>
      <c r="F131" s="126"/>
    </row>
    <row r="132" spans="1:6" ht="14.25">
      <c r="A132" s="126"/>
      <c r="B132" s="126"/>
      <c r="C132" s="127"/>
      <c r="D132" s="127"/>
      <c r="E132" s="127"/>
      <c r="F132" s="126"/>
    </row>
    <row r="133" spans="1:6" ht="14.25">
      <c r="A133" s="126"/>
      <c r="B133" s="126"/>
      <c r="C133" s="127"/>
      <c r="D133" s="127"/>
      <c r="E133" s="127"/>
      <c r="F133" s="126"/>
    </row>
    <row r="134" spans="1:6" ht="14.25">
      <c r="A134" s="126"/>
      <c r="B134" s="126"/>
      <c r="C134" s="127"/>
      <c r="D134" s="127"/>
      <c r="E134" s="127"/>
      <c r="F134" s="126"/>
    </row>
    <row r="135" spans="1:6" ht="14.25">
      <c r="A135" s="126"/>
      <c r="B135" s="126"/>
      <c r="C135" s="127"/>
      <c r="D135" s="127"/>
      <c r="E135" s="127"/>
      <c r="F135" s="126"/>
    </row>
    <row r="136" spans="1:6" ht="14.25">
      <c r="A136" s="126"/>
      <c r="B136" s="126"/>
      <c r="C136" s="127"/>
      <c r="D136" s="127"/>
      <c r="E136" s="127"/>
      <c r="F136" s="126"/>
    </row>
    <row r="137" spans="1:6" ht="14.25">
      <c r="A137" s="126"/>
      <c r="B137" s="126"/>
      <c r="C137" s="127"/>
      <c r="D137" s="127"/>
      <c r="E137" s="127"/>
      <c r="F137" s="126"/>
    </row>
    <row r="138" spans="1:6" ht="14.25">
      <c r="A138" s="126"/>
      <c r="B138" s="126"/>
      <c r="C138" s="127"/>
      <c r="D138" s="127"/>
      <c r="E138" s="127"/>
      <c r="F138" s="126"/>
    </row>
    <row r="139" spans="1:6" ht="14.25">
      <c r="A139" s="126"/>
      <c r="B139" s="126"/>
      <c r="C139" s="127"/>
      <c r="D139" s="127"/>
      <c r="E139" s="127"/>
      <c r="F139" s="126"/>
    </row>
    <row r="140" spans="1:6" ht="14.25">
      <c r="A140" s="126"/>
      <c r="B140" s="126"/>
      <c r="C140" s="127"/>
      <c r="D140" s="127"/>
      <c r="E140" s="127"/>
      <c r="F140" s="126"/>
    </row>
    <row r="141" spans="1:6" ht="14.25">
      <c r="A141" s="126"/>
      <c r="B141" s="126"/>
      <c r="C141" s="127"/>
      <c r="D141" s="127"/>
      <c r="E141" s="127"/>
      <c r="F141" s="126"/>
    </row>
    <row r="142" spans="1:6" ht="14.25">
      <c r="A142" s="126"/>
      <c r="B142" s="126"/>
      <c r="C142" s="127"/>
      <c r="D142" s="127"/>
      <c r="E142" s="127"/>
      <c r="F142" s="126"/>
    </row>
    <row r="143" spans="1:6" ht="14.25">
      <c r="A143" s="126"/>
      <c r="B143" s="126"/>
      <c r="C143" s="127"/>
      <c r="D143" s="127"/>
      <c r="E143" s="127"/>
      <c r="F143" s="126"/>
    </row>
    <row r="144" spans="1:6" ht="14.25">
      <c r="A144" s="126"/>
      <c r="B144" s="126"/>
      <c r="C144" s="127"/>
      <c r="D144" s="127"/>
      <c r="E144" s="127"/>
      <c r="F144" s="126"/>
    </row>
    <row r="145" spans="1:6" ht="14.25">
      <c r="A145" s="126"/>
      <c r="B145" s="126"/>
      <c r="C145" s="127"/>
      <c r="D145" s="127"/>
      <c r="E145" s="127"/>
      <c r="F145" s="126"/>
    </row>
    <row r="146" spans="1:6" ht="14.25">
      <c r="A146" s="126"/>
      <c r="B146" s="126"/>
      <c r="C146" s="127"/>
      <c r="D146" s="127"/>
      <c r="E146" s="127"/>
      <c r="F146" s="126"/>
    </row>
    <row r="147" spans="1:6" ht="14.25">
      <c r="A147" s="126"/>
      <c r="B147" s="126"/>
      <c r="C147" s="127"/>
      <c r="D147" s="127"/>
      <c r="E147" s="127"/>
      <c r="F147" s="126"/>
    </row>
    <row r="148" spans="1:6" ht="14.25">
      <c r="A148" s="126"/>
      <c r="B148" s="126"/>
      <c r="C148" s="127"/>
      <c r="D148" s="127"/>
      <c r="E148" s="127"/>
      <c r="F148" s="126"/>
    </row>
    <row r="149" spans="1:6" ht="14.25">
      <c r="A149" s="126"/>
      <c r="B149" s="126"/>
      <c r="C149" s="127"/>
      <c r="D149" s="127"/>
      <c r="E149" s="127"/>
      <c r="F149" s="126"/>
    </row>
    <row r="150" spans="1:6" ht="14.25">
      <c r="A150" s="126"/>
      <c r="B150" s="126"/>
      <c r="C150" s="127"/>
      <c r="D150" s="127"/>
      <c r="E150" s="127"/>
      <c r="F150" s="126"/>
    </row>
    <row r="151" spans="1:6" ht="14.25">
      <c r="A151" s="126"/>
      <c r="B151" s="126"/>
      <c r="C151" s="127"/>
      <c r="D151" s="127"/>
      <c r="E151" s="127"/>
      <c r="F151" s="126"/>
    </row>
    <row r="152" spans="1:6" ht="14.25">
      <c r="A152" s="126"/>
      <c r="B152" s="126"/>
      <c r="C152" s="127"/>
      <c r="D152" s="127"/>
      <c r="E152" s="127"/>
      <c r="F152" s="126"/>
    </row>
    <row r="153" spans="1:6" ht="14.25">
      <c r="A153" s="126"/>
      <c r="B153" s="126"/>
      <c r="C153" s="127"/>
      <c r="D153" s="127"/>
      <c r="E153" s="127"/>
      <c r="F153" s="126"/>
    </row>
    <row r="154" spans="1:6" ht="14.25">
      <c r="A154" s="126"/>
      <c r="B154" s="126"/>
      <c r="C154" s="127"/>
      <c r="D154" s="127"/>
      <c r="E154" s="127"/>
      <c r="F154" s="126"/>
    </row>
    <row r="155" spans="1:6" ht="14.25">
      <c r="A155" s="126"/>
      <c r="B155" s="126"/>
      <c r="C155" s="127"/>
      <c r="D155" s="127"/>
      <c r="E155" s="127"/>
      <c r="F155" s="126"/>
    </row>
    <row r="156" spans="1:6" ht="14.25">
      <c r="A156" s="126"/>
      <c r="B156" s="126"/>
      <c r="C156" s="127"/>
      <c r="D156" s="127"/>
      <c r="E156" s="127"/>
      <c r="F156" s="126"/>
    </row>
    <row r="157" spans="1:6" ht="14.25">
      <c r="A157" s="126"/>
      <c r="B157" s="126"/>
      <c r="C157" s="127"/>
      <c r="D157" s="127"/>
      <c r="E157" s="127"/>
      <c r="F157" s="126"/>
    </row>
    <row r="158" spans="1:6" ht="14.25">
      <c r="A158" s="126"/>
      <c r="B158" s="126"/>
      <c r="C158" s="127"/>
      <c r="D158" s="127"/>
      <c r="E158" s="127"/>
      <c r="F158" s="126"/>
    </row>
    <row r="159" spans="1:6" ht="14.25">
      <c r="A159" s="126"/>
      <c r="B159" s="126"/>
      <c r="C159" s="127"/>
      <c r="D159" s="127"/>
      <c r="E159" s="127"/>
      <c r="F159" s="126"/>
    </row>
    <row r="160" spans="1:6" ht="14.25">
      <c r="A160" s="126"/>
      <c r="B160" s="126"/>
      <c r="C160" s="127"/>
      <c r="D160" s="127"/>
      <c r="E160" s="127"/>
      <c r="F160" s="126"/>
    </row>
    <row r="161" spans="1:6" ht="14.25">
      <c r="A161" s="126"/>
      <c r="B161" s="126"/>
      <c r="C161" s="127"/>
      <c r="D161" s="127"/>
      <c r="E161" s="127"/>
      <c r="F161" s="126"/>
    </row>
    <row r="162" spans="1:6" ht="14.25">
      <c r="A162" s="126"/>
      <c r="B162" s="126"/>
      <c r="C162" s="127"/>
      <c r="D162" s="127"/>
      <c r="E162" s="127"/>
      <c r="F162" s="126"/>
    </row>
    <row r="163" spans="1:6" ht="14.25">
      <c r="A163" s="126"/>
      <c r="B163" s="126"/>
      <c r="C163" s="127"/>
      <c r="D163" s="127"/>
      <c r="E163" s="127"/>
      <c r="F163" s="126"/>
    </row>
    <row r="164" spans="1:6" ht="14.25">
      <c r="A164" s="126"/>
      <c r="B164" s="126"/>
      <c r="C164" s="127"/>
      <c r="D164" s="127"/>
      <c r="E164" s="127"/>
      <c r="F164" s="126"/>
    </row>
    <row r="165" spans="1:6" ht="14.25">
      <c r="A165" s="126"/>
      <c r="B165" s="126"/>
      <c r="C165" s="127"/>
      <c r="D165" s="127"/>
      <c r="E165" s="127"/>
      <c r="F165" s="126"/>
    </row>
    <row r="166" spans="1:6" ht="14.25">
      <c r="A166" s="126"/>
      <c r="B166" s="126"/>
      <c r="C166" s="127"/>
      <c r="D166" s="127"/>
      <c r="E166" s="127"/>
      <c r="F166" s="126"/>
    </row>
    <row r="167" spans="1:6" ht="14.25">
      <c r="A167" s="126"/>
      <c r="B167" s="126"/>
      <c r="C167" s="127"/>
      <c r="D167" s="127"/>
      <c r="E167" s="127"/>
      <c r="F167" s="126"/>
    </row>
    <row r="168" spans="1:6" ht="14.25">
      <c r="A168" s="126"/>
      <c r="B168" s="126"/>
      <c r="C168" s="127"/>
      <c r="D168" s="127"/>
      <c r="E168" s="127"/>
      <c r="F168" s="126"/>
    </row>
    <row r="169" spans="1:6" ht="14.25">
      <c r="A169" s="126"/>
      <c r="B169" s="126"/>
      <c r="C169" s="127"/>
      <c r="D169" s="127"/>
      <c r="E169" s="127"/>
      <c r="F169" s="126"/>
    </row>
    <row r="170" spans="1:6" ht="14.25">
      <c r="A170" s="126"/>
      <c r="B170" s="126"/>
      <c r="C170" s="127"/>
      <c r="D170" s="127"/>
      <c r="E170" s="127"/>
      <c r="F170" s="126"/>
    </row>
    <row r="171" spans="1:6" ht="14.25">
      <c r="A171" s="126"/>
      <c r="B171" s="126"/>
      <c r="C171" s="127"/>
      <c r="D171" s="127"/>
      <c r="E171" s="127"/>
      <c r="F171" s="126"/>
    </row>
    <row r="172" spans="1:6" ht="14.25">
      <c r="A172" s="126"/>
      <c r="B172" s="126"/>
      <c r="C172" s="127"/>
      <c r="D172" s="127"/>
      <c r="E172" s="127"/>
      <c r="F172" s="126"/>
    </row>
    <row r="173" spans="1:6" ht="14.25">
      <c r="A173" s="126"/>
      <c r="B173" s="126"/>
      <c r="C173" s="127"/>
      <c r="D173" s="127"/>
      <c r="E173" s="127"/>
      <c r="F173" s="126"/>
    </row>
    <row r="174" spans="1:6" ht="14.25">
      <c r="A174" s="126"/>
      <c r="B174" s="126"/>
      <c r="C174" s="127"/>
      <c r="D174" s="127"/>
      <c r="E174" s="127"/>
      <c r="F174" s="126"/>
    </row>
    <row r="175" spans="1:6" ht="14.25">
      <c r="A175" s="126"/>
      <c r="B175" s="126"/>
      <c r="C175" s="127"/>
      <c r="D175" s="127"/>
      <c r="E175" s="127"/>
      <c r="F175" s="126"/>
    </row>
    <row r="176" spans="1:6" ht="14.25">
      <c r="A176" s="126"/>
      <c r="B176" s="126"/>
      <c r="C176" s="127"/>
      <c r="D176" s="127"/>
      <c r="E176" s="127"/>
      <c r="F176" s="126"/>
    </row>
    <row r="177" spans="1:6" ht="14.25">
      <c r="A177" s="126"/>
      <c r="B177" s="126"/>
      <c r="C177" s="127"/>
      <c r="D177" s="127"/>
      <c r="E177" s="127"/>
      <c r="F177" s="126"/>
    </row>
    <row r="178" spans="1:6" ht="14.25">
      <c r="A178" s="126"/>
      <c r="B178" s="126"/>
      <c r="C178" s="127"/>
      <c r="D178" s="127"/>
      <c r="E178" s="127"/>
      <c r="F178" s="126"/>
    </row>
    <row r="179" spans="1:6" ht="14.25">
      <c r="A179" s="126"/>
      <c r="B179" s="126"/>
      <c r="C179" s="127"/>
      <c r="D179" s="127"/>
      <c r="E179" s="127"/>
      <c r="F179" s="126"/>
    </row>
    <row r="180" spans="1:6" ht="14.25">
      <c r="A180" s="126"/>
      <c r="B180" s="126"/>
      <c r="C180" s="127"/>
      <c r="D180" s="127"/>
      <c r="E180" s="127"/>
      <c r="F180" s="126"/>
    </row>
    <row r="181" spans="1:6" ht="14.25">
      <c r="A181" s="126"/>
      <c r="B181" s="126"/>
      <c r="C181" s="127"/>
      <c r="D181" s="127"/>
      <c r="E181" s="127"/>
      <c r="F181" s="126"/>
    </row>
    <row r="182" spans="1:6" ht="14.25">
      <c r="A182" s="126"/>
      <c r="B182" s="126"/>
      <c r="C182" s="127"/>
      <c r="D182" s="127"/>
      <c r="E182" s="127"/>
      <c r="F182" s="126"/>
    </row>
    <row r="183" spans="1:6" ht="14.25">
      <c r="A183" s="126"/>
      <c r="B183" s="126"/>
      <c r="C183" s="127"/>
      <c r="D183" s="127"/>
      <c r="E183" s="127"/>
      <c r="F183" s="126"/>
    </row>
    <row r="184" spans="1:6" ht="14.25">
      <c r="A184" s="126"/>
      <c r="B184" s="126"/>
      <c r="C184" s="127"/>
      <c r="D184" s="127"/>
      <c r="E184" s="127"/>
      <c r="F184" s="126"/>
    </row>
    <row r="185" spans="1:6" ht="14.25">
      <c r="A185" s="126"/>
      <c r="B185" s="126"/>
      <c r="C185" s="127"/>
      <c r="D185" s="127"/>
      <c r="E185" s="127"/>
      <c r="F185" s="126"/>
    </row>
    <row r="186" spans="1:6" ht="14.25">
      <c r="A186" s="126"/>
      <c r="B186" s="126"/>
      <c r="C186" s="127"/>
      <c r="D186" s="127"/>
      <c r="E186" s="127"/>
      <c r="F186" s="126"/>
    </row>
    <row r="187" spans="1:6" ht="14.25">
      <c r="A187" s="126"/>
      <c r="B187" s="126"/>
      <c r="C187" s="127"/>
      <c r="D187" s="127"/>
      <c r="E187" s="127"/>
      <c r="F187" s="126"/>
    </row>
    <row r="188" spans="1:6" ht="14.25">
      <c r="A188" s="126"/>
      <c r="B188" s="126"/>
      <c r="C188" s="127"/>
      <c r="D188" s="127"/>
      <c r="E188" s="127"/>
      <c r="F188" s="126"/>
    </row>
    <row r="189" spans="1:6" ht="14.25">
      <c r="A189" s="126"/>
      <c r="B189" s="126"/>
      <c r="C189" s="127"/>
      <c r="D189" s="127"/>
      <c r="E189" s="127"/>
      <c r="F189" s="126"/>
    </row>
    <row r="190" spans="1:6" ht="14.25">
      <c r="A190" s="126"/>
      <c r="B190" s="126"/>
      <c r="C190" s="127"/>
      <c r="D190" s="127"/>
      <c r="E190" s="127"/>
      <c r="F190" s="126"/>
    </row>
    <row r="191" spans="1:6" ht="14.25">
      <c r="A191" s="126"/>
      <c r="B191" s="126"/>
      <c r="C191" s="127"/>
      <c r="D191" s="127"/>
      <c r="E191" s="127"/>
      <c r="F191" s="126"/>
    </row>
    <row r="192" spans="1:6" ht="14.25">
      <c r="A192" s="126"/>
      <c r="B192" s="126"/>
      <c r="C192" s="127"/>
      <c r="D192" s="127"/>
      <c r="E192" s="127"/>
      <c r="F192" s="126"/>
    </row>
    <row r="193" spans="1:6" ht="14.25">
      <c r="A193" s="126"/>
      <c r="B193" s="126"/>
      <c r="C193" s="127"/>
      <c r="D193" s="127"/>
      <c r="E193" s="127"/>
      <c r="F193" s="126"/>
    </row>
    <row r="194" spans="1:6" ht="14.25">
      <c r="A194" s="126"/>
      <c r="B194" s="126"/>
      <c r="C194" s="127"/>
      <c r="D194" s="127"/>
      <c r="E194" s="127"/>
      <c r="F194" s="126"/>
    </row>
    <row r="195" spans="1:6" ht="14.25">
      <c r="A195" s="126"/>
      <c r="B195" s="126"/>
      <c r="C195" s="127"/>
      <c r="D195" s="127"/>
      <c r="E195" s="127"/>
      <c r="F195" s="126"/>
    </row>
    <row r="196" spans="1:6" ht="14.25">
      <c r="A196" s="126"/>
      <c r="B196" s="126"/>
      <c r="C196" s="127"/>
      <c r="D196" s="127"/>
      <c r="E196" s="127"/>
      <c r="F196" s="126"/>
    </row>
    <row r="197" spans="1:6" ht="14.25">
      <c r="A197" s="126"/>
      <c r="B197" s="126"/>
      <c r="C197" s="127"/>
      <c r="D197" s="127"/>
      <c r="E197" s="127"/>
      <c r="F197" s="126"/>
    </row>
    <row r="198" spans="1:6" ht="14.25">
      <c r="A198" s="126"/>
      <c r="B198" s="126"/>
      <c r="C198" s="127"/>
      <c r="D198" s="127"/>
      <c r="E198" s="127"/>
      <c r="F198" s="126"/>
    </row>
    <row r="199" spans="1:6" ht="14.25">
      <c r="A199" s="126"/>
      <c r="B199" s="126"/>
      <c r="C199" s="127"/>
      <c r="D199" s="127"/>
      <c r="E199" s="127"/>
      <c r="F199" s="126"/>
    </row>
    <row r="200" spans="1:6" ht="14.25">
      <c r="A200" s="126"/>
      <c r="B200" s="126"/>
      <c r="C200" s="127"/>
      <c r="D200" s="127"/>
      <c r="E200" s="127"/>
      <c r="F200" s="126"/>
    </row>
    <row r="201" spans="1:6" ht="14.25">
      <c r="A201" s="126"/>
      <c r="B201" s="126"/>
      <c r="C201" s="127"/>
      <c r="D201" s="127"/>
      <c r="E201" s="127"/>
      <c r="F201" s="126"/>
    </row>
    <row r="202" spans="1:6" ht="14.25">
      <c r="A202" s="126"/>
      <c r="B202" s="126"/>
      <c r="C202" s="127"/>
      <c r="D202" s="127"/>
      <c r="E202" s="127"/>
      <c r="F202" s="126"/>
    </row>
    <row r="203" spans="1:6" ht="14.25">
      <c r="A203" s="126"/>
      <c r="B203" s="126"/>
      <c r="C203" s="127"/>
      <c r="D203" s="127"/>
      <c r="E203" s="127"/>
      <c r="F203" s="126"/>
    </row>
    <row r="204" spans="1:6" ht="14.25">
      <c r="A204" s="126"/>
      <c r="B204" s="126"/>
      <c r="C204" s="127"/>
      <c r="D204" s="127"/>
      <c r="E204" s="127"/>
      <c r="F204" s="126"/>
    </row>
    <row r="205" spans="1:6" ht="14.25">
      <c r="A205" s="126"/>
      <c r="B205" s="126"/>
      <c r="C205" s="127"/>
      <c r="D205" s="127"/>
      <c r="E205" s="127"/>
      <c r="F205" s="126"/>
    </row>
    <row r="206" spans="1:6" ht="14.25">
      <c r="A206" s="126"/>
      <c r="B206" s="126"/>
      <c r="C206" s="127"/>
      <c r="D206" s="127"/>
      <c r="E206" s="127"/>
      <c r="F206" s="126"/>
    </row>
    <row r="207" spans="1:6" ht="14.25">
      <c r="A207" s="126"/>
      <c r="B207" s="126"/>
      <c r="C207" s="127"/>
      <c r="D207" s="127"/>
      <c r="E207" s="127"/>
      <c r="F207" s="126"/>
    </row>
    <row r="208" spans="1:6" ht="14.25">
      <c r="A208" s="126"/>
      <c r="B208" s="126"/>
      <c r="C208" s="127"/>
      <c r="D208" s="127"/>
      <c r="E208" s="127"/>
      <c r="F208" s="126"/>
    </row>
    <row r="209" spans="1:6" ht="14.25">
      <c r="A209" s="126"/>
      <c r="B209" s="126"/>
      <c r="C209" s="127"/>
      <c r="D209" s="127"/>
      <c r="E209" s="127"/>
      <c r="F209" s="126"/>
    </row>
    <row r="210" spans="1:6" ht="14.25">
      <c r="A210" s="126"/>
      <c r="B210" s="126"/>
      <c r="C210" s="127"/>
      <c r="D210" s="127"/>
      <c r="E210" s="127"/>
      <c r="F210" s="126"/>
    </row>
    <row r="211" spans="1:6" ht="14.25">
      <c r="A211" s="126"/>
      <c r="B211" s="126"/>
      <c r="C211" s="127"/>
      <c r="D211" s="127"/>
      <c r="E211" s="127"/>
      <c r="F211" s="126"/>
    </row>
    <row r="212" spans="1:6" ht="14.25">
      <c r="A212" s="126"/>
      <c r="B212" s="126"/>
      <c r="C212" s="127"/>
      <c r="D212" s="127"/>
      <c r="E212" s="127"/>
      <c r="F212" s="126"/>
    </row>
    <row r="213" spans="1:6" ht="14.25">
      <c r="A213" s="126"/>
      <c r="B213" s="126"/>
      <c r="C213" s="127"/>
      <c r="D213" s="127"/>
      <c r="E213" s="127"/>
      <c r="F213" s="126"/>
    </row>
    <row r="214" spans="1:6" ht="14.25">
      <c r="A214" s="126"/>
      <c r="B214" s="126"/>
      <c r="C214" s="127"/>
      <c r="D214" s="127"/>
      <c r="E214" s="127"/>
      <c r="F214" s="126"/>
    </row>
    <row r="215" spans="1:6" ht="14.25">
      <c r="A215" s="126"/>
      <c r="B215" s="126"/>
      <c r="C215" s="127"/>
      <c r="D215" s="127"/>
      <c r="E215" s="127"/>
      <c r="F215" s="126"/>
    </row>
    <row r="216" spans="1:6" ht="14.25">
      <c r="A216" s="126"/>
      <c r="B216" s="126"/>
      <c r="C216" s="127"/>
      <c r="D216" s="127"/>
      <c r="E216" s="127"/>
      <c r="F216" s="126"/>
    </row>
    <row r="217" spans="1:6" ht="14.25">
      <c r="A217" s="126"/>
      <c r="B217" s="126"/>
      <c r="C217" s="127"/>
      <c r="D217" s="127"/>
      <c r="E217" s="127"/>
      <c r="F217" s="126"/>
    </row>
    <row r="218" spans="1:6" ht="14.25">
      <c r="A218" s="126"/>
      <c r="B218" s="126"/>
      <c r="C218" s="127"/>
      <c r="D218" s="127"/>
      <c r="E218" s="127"/>
      <c r="F218" s="126"/>
    </row>
    <row r="219" spans="1:6" ht="14.25">
      <c r="A219" s="126"/>
      <c r="B219" s="126"/>
      <c r="C219" s="127"/>
      <c r="D219" s="127"/>
      <c r="E219" s="127"/>
      <c r="F219" s="126"/>
    </row>
    <row r="220" spans="1:6" ht="14.25">
      <c r="A220" s="126"/>
      <c r="B220" s="126"/>
      <c r="C220" s="127"/>
      <c r="D220" s="127"/>
      <c r="E220" s="127"/>
      <c r="F220" s="126"/>
    </row>
    <row r="221" spans="1:6" ht="14.25">
      <c r="A221" s="126"/>
      <c r="B221" s="126"/>
      <c r="C221" s="127"/>
      <c r="D221" s="127"/>
      <c r="E221" s="127"/>
      <c r="F221" s="126"/>
    </row>
    <row r="222" spans="1:6" ht="14.25">
      <c r="A222" s="126"/>
      <c r="B222" s="126"/>
      <c r="C222" s="127"/>
      <c r="D222" s="127"/>
      <c r="E222" s="127"/>
      <c r="F222" s="126"/>
    </row>
    <row r="223" spans="1:6" ht="14.25">
      <c r="A223" s="126"/>
      <c r="B223" s="126"/>
      <c r="C223" s="127"/>
      <c r="D223" s="127"/>
      <c r="E223" s="127"/>
      <c r="F223" s="126"/>
    </row>
    <row r="224" spans="1:6" ht="14.25">
      <c r="A224" s="126"/>
      <c r="B224" s="126"/>
      <c r="C224" s="127"/>
      <c r="D224" s="127"/>
      <c r="E224" s="127"/>
      <c r="F224" s="126"/>
    </row>
    <row r="225" spans="1:6" ht="14.25">
      <c r="A225" s="126"/>
      <c r="B225" s="126"/>
      <c r="C225" s="127"/>
      <c r="D225" s="127"/>
      <c r="E225" s="127"/>
      <c r="F225" s="126"/>
    </row>
    <row r="226" spans="1:6" ht="14.25">
      <c r="A226" s="126"/>
      <c r="B226" s="126"/>
      <c r="C226" s="127"/>
      <c r="D226" s="127"/>
      <c r="E226" s="127"/>
      <c r="F226" s="126"/>
    </row>
    <row r="227" spans="1:6" ht="14.25">
      <c r="A227" s="126"/>
      <c r="B227" s="126"/>
      <c r="C227" s="127"/>
      <c r="D227" s="127"/>
      <c r="E227" s="127"/>
      <c r="F227" s="126"/>
    </row>
    <row r="228" spans="1:6" ht="14.25">
      <c r="A228" s="126"/>
      <c r="B228" s="126"/>
      <c r="C228" s="127"/>
      <c r="D228" s="127"/>
      <c r="E228" s="127"/>
      <c r="F228" s="126"/>
    </row>
    <row r="229" spans="1:6" ht="14.25">
      <c r="A229" s="126"/>
      <c r="B229" s="126"/>
      <c r="C229" s="127"/>
      <c r="D229" s="127"/>
      <c r="E229" s="127"/>
      <c r="F229" s="126"/>
    </row>
    <row r="230" spans="1:6" ht="14.25">
      <c r="A230" s="126"/>
      <c r="B230" s="126"/>
      <c r="C230" s="127"/>
      <c r="D230" s="127"/>
      <c r="E230" s="127"/>
      <c r="F230" s="126"/>
    </row>
    <row r="231" spans="1:6" ht="14.25">
      <c r="A231" s="126"/>
      <c r="B231" s="126"/>
      <c r="C231" s="127"/>
      <c r="D231" s="127"/>
      <c r="E231" s="127"/>
      <c r="F231" s="126"/>
    </row>
    <row r="232" spans="1:6" ht="14.25">
      <c r="A232" s="126"/>
      <c r="B232" s="126"/>
      <c r="C232" s="127"/>
      <c r="D232" s="127"/>
      <c r="E232" s="127"/>
      <c r="F232" s="126"/>
    </row>
    <row r="233" spans="1:6" ht="14.25">
      <c r="A233" s="126"/>
      <c r="B233" s="126"/>
      <c r="C233" s="127"/>
      <c r="D233" s="127"/>
      <c r="E233" s="127"/>
      <c r="F233" s="126"/>
    </row>
    <row r="234" spans="1:6" ht="14.25">
      <c r="A234" s="126"/>
      <c r="B234" s="126"/>
      <c r="C234" s="127"/>
      <c r="D234" s="127"/>
      <c r="E234" s="127"/>
      <c r="F234" s="126"/>
    </row>
    <row r="235" spans="1:6" ht="14.25">
      <c r="A235" s="126"/>
      <c r="B235" s="126"/>
      <c r="C235" s="127"/>
      <c r="D235" s="127"/>
      <c r="E235" s="127"/>
      <c r="F235" s="126"/>
    </row>
    <row r="236" spans="1:6" ht="14.25">
      <c r="A236" s="126"/>
      <c r="B236" s="126"/>
      <c r="C236" s="127"/>
      <c r="D236" s="127"/>
      <c r="E236" s="127"/>
      <c r="F236" s="126"/>
    </row>
    <row r="237" spans="1:6" ht="14.25">
      <c r="A237" s="126"/>
      <c r="B237" s="126"/>
      <c r="C237" s="127"/>
      <c r="D237" s="127"/>
      <c r="E237" s="127"/>
      <c r="F237" s="126"/>
    </row>
    <row r="238" spans="1:6" ht="14.25">
      <c r="A238" s="126"/>
      <c r="B238" s="126"/>
      <c r="C238" s="127"/>
      <c r="D238" s="127"/>
      <c r="E238" s="127"/>
      <c r="F238" s="126"/>
    </row>
    <row r="239" spans="1:6" ht="14.25">
      <c r="A239" s="126"/>
      <c r="B239" s="126"/>
      <c r="C239" s="127"/>
      <c r="D239" s="127"/>
      <c r="E239" s="127"/>
      <c r="F239" s="126"/>
    </row>
    <row r="240" spans="1:6" ht="14.25">
      <c r="A240" s="126"/>
      <c r="B240" s="126"/>
      <c r="C240" s="127"/>
      <c r="D240" s="127"/>
      <c r="E240" s="127"/>
      <c r="F240" s="126"/>
    </row>
    <row r="241" spans="1:6" ht="14.25">
      <c r="A241" s="126"/>
      <c r="B241" s="126"/>
      <c r="C241" s="127"/>
      <c r="D241" s="127"/>
      <c r="E241" s="127"/>
      <c r="F241" s="126"/>
    </row>
    <row r="242" spans="1:6" ht="14.25">
      <c r="A242" s="126"/>
      <c r="B242" s="126"/>
      <c r="C242" s="127"/>
      <c r="D242" s="127"/>
      <c r="E242" s="127"/>
      <c r="F242" s="126"/>
    </row>
    <row r="243" spans="1:6" ht="14.25">
      <c r="A243" s="126"/>
      <c r="B243" s="126"/>
      <c r="C243" s="127"/>
      <c r="D243" s="127"/>
      <c r="E243" s="127"/>
      <c r="F243" s="126"/>
    </row>
    <row r="244" spans="1:6" ht="14.25">
      <c r="A244" s="126"/>
      <c r="B244" s="126"/>
      <c r="C244" s="127"/>
      <c r="D244" s="127"/>
      <c r="E244" s="127"/>
      <c r="F244" s="126"/>
    </row>
    <row r="245" spans="1:6" ht="14.25">
      <c r="A245" s="126"/>
      <c r="B245" s="126"/>
      <c r="C245" s="127"/>
      <c r="D245" s="127"/>
      <c r="E245" s="127"/>
      <c r="F245" s="126"/>
    </row>
    <row r="246" spans="1:6" ht="14.25">
      <c r="A246" s="126"/>
      <c r="B246" s="126"/>
      <c r="C246" s="127"/>
      <c r="D246" s="127"/>
      <c r="E246" s="127"/>
      <c r="F246" s="126"/>
    </row>
    <row r="247" spans="1:6" ht="14.25">
      <c r="A247" s="126"/>
      <c r="B247" s="126"/>
      <c r="C247" s="127"/>
      <c r="D247" s="127"/>
      <c r="E247" s="127"/>
      <c r="F247" s="126"/>
    </row>
    <row r="248" spans="1:6" ht="14.25">
      <c r="A248" s="126"/>
      <c r="B248" s="126"/>
      <c r="C248" s="127"/>
      <c r="D248" s="127"/>
      <c r="E248" s="127"/>
      <c r="F248" s="126"/>
    </row>
    <row r="249" spans="1:6" ht="14.25">
      <c r="A249" s="126"/>
      <c r="B249" s="126"/>
      <c r="C249" s="127"/>
      <c r="D249" s="127"/>
      <c r="E249" s="127"/>
      <c r="F249" s="126"/>
    </row>
    <row r="250" spans="1:6" ht="14.25">
      <c r="A250" s="126"/>
      <c r="B250" s="126"/>
      <c r="C250" s="127"/>
      <c r="D250" s="127"/>
      <c r="E250" s="127"/>
      <c r="F250" s="126"/>
    </row>
    <row r="251" spans="1:6" ht="14.25">
      <c r="A251" s="126"/>
      <c r="B251" s="126"/>
      <c r="C251" s="127"/>
      <c r="D251" s="127"/>
      <c r="E251" s="127"/>
      <c r="F251" s="126"/>
    </row>
    <row r="252" spans="1:6" ht="14.25">
      <c r="A252" s="126"/>
      <c r="B252" s="126"/>
      <c r="C252" s="127"/>
      <c r="D252" s="127"/>
      <c r="E252" s="127"/>
      <c r="F252" s="126"/>
    </row>
    <row r="253" spans="1:6" ht="14.25">
      <c r="A253" s="126"/>
      <c r="B253" s="126"/>
      <c r="C253" s="127"/>
      <c r="D253" s="127"/>
      <c r="E253" s="127"/>
      <c r="F253" s="126"/>
    </row>
    <row r="254" spans="1:6" ht="14.25">
      <c r="A254" s="126"/>
      <c r="B254" s="126"/>
      <c r="C254" s="127"/>
      <c r="D254" s="127"/>
      <c r="E254" s="127"/>
      <c r="F254" s="126"/>
    </row>
    <row r="255" spans="1:6" ht="14.25">
      <c r="A255" s="126"/>
      <c r="B255" s="126"/>
      <c r="C255" s="127"/>
      <c r="D255" s="127"/>
      <c r="E255" s="127"/>
      <c r="F255" s="126"/>
    </row>
    <row r="256" spans="1:6" ht="14.25">
      <c r="A256" s="126"/>
      <c r="B256" s="126"/>
      <c r="C256" s="127"/>
      <c r="D256" s="127"/>
      <c r="E256" s="127"/>
      <c r="F256" s="126"/>
    </row>
    <row r="257" spans="1:6" ht="14.25">
      <c r="A257" s="126"/>
      <c r="B257" s="126"/>
      <c r="C257" s="127"/>
      <c r="D257" s="127"/>
      <c r="E257" s="127"/>
      <c r="F257" s="126"/>
    </row>
    <row r="258" spans="1:6" ht="14.25">
      <c r="A258" s="126"/>
      <c r="B258" s="126"/>
      <c r="C258" s="127"/>
      <c r="D258" s="127"/>
      <c r="E258" s="127"/>
      <c r="F258" s="126"/>
    </row>
    <row r="259" spans="1:6" ht="14.25">
      <c r="A259" s="126"/>
      <c r="B259" s="126"/>
      <c r="C259" s="127"/>
      <c r="D259" s="127"/>
      <c r="E259" s="127"/>
      <c r="F259" s="126"/>
    </row>
    <row r="260" spans="1:6" ht="14.25">
      <c r="A260" s="126"/>
      <c r="B260" s="126"/>
      <c r="C260" s="127"/>
      <c r="D260" s="127"/>
      <c r="E260" s="127"/>
      <c r="F260" s="126"/>
    </row>
    <row r="261" spans="1:6" ht="14.25">
      <c r="A261" s="126"/>
      <c r="B261" s="126"/>
      <c r="C261" s="127"/>
      <c r="D261" s="127"/>
      <c r="E261" s="127"/>
      <c r="F261" s="126"/>
    </row>
    <row r="262" spans="1:6" ht="14.25">
      <c r="A262" s="126"/>
      <c r="B262" s="126"/>
      <c r="C262" s="127"/>
      <c r="D262" s="127"/>
      <c r="E262" s="127"/>
      <c r="F262" s="126"/>
    </row>
    <row r="263" spans="1:6" ht="14.25">
      <c r="A263" s="126"/>
      <c r="B263" s="126"/>
      <c r="C263" s="127"/>
      <c r="D263" s="127"/>
      <c r="E263" s="127"/>
      <c r="F263" s="126"/>
    </row>
    <row r="264" spans="1:6" ht="14.25">
      <c r="A264" s="126"/>
      <c r="B264" s="126"/>
      <c r="C264" s="127"/>
      <c r="D264" s="127"/>
      <c r="E264" s="127"/>
      <c r="F264" s="126"/>
    </row>
    <row r="265" spans="1:6" ht="14.25">
      <c r="A265" s="126"/>
      <c r="B265" s="126"/>
      <c r="C265" s="127"/>
      <c r="D265" s="127"/>
      <c r="E265" s="127"/>
      <c r="F265" s="126"/>
    </row>
    <row r="266" spans="1:6" ht="14.25">
      <c r="A266" s="126"/>
      <c r="B266" s="126"/>
      <c r="C266" s="127"/>
      <c r="D266" s="127"/>
      <c r="E266" s="127"/>
      <c r="F266" s="126"/>
    </row>
    <row r="267" spans="1:6" ht="14.25">
      <c r="A267" s="126"/>
      <c r="B267" s="126"/>
      <c r="C267" s="127"/>
      <c r="D267" s="127"/>
      <c r="E267" s="127"/>
      <c r="F267" s="126"/>
    </row>
    <row r="268" spans="1:6" ht="14.25">
      <c r="A268" s="126"/>
      <c r="B268" s="126"/>
      <c r="C268" s="127"/>
      <c r="D268" s="127"/>
      <c r="E268" s="127"/>
      <c r="F268" s="126"/>
    </row>
    <row r="269" spans="1:6" ht="14.25">
      <c r="A269" s="126"/>
      <c r="B269" s="126"/>
      <c r="C269" s="127"/>
      <c r="D269" s="127"/>
      <c r="E269" s="127"/>
      <c r="F269" s="126"/>
    </row>
    <row r="270" spans="1:6" ht="14.25">
      <c r="A270" s="126"/>
      <c r="B270" s="126"/>
      <c r="C270" s="127"/>
      <c r="D270" s="127"/>
      <c r="E270" s="127"/>
      <c r="F270" s="126"/>
    </row>
    <row r="271" spans="1:6" ht="14.25">
      <c r="A271" s="126"/>
      <c r="B271" s="126"/>
      <c r="C271" s="127"/>
      <c r="D271" s="127"/>
      <c r="E271" s="127"/>
      <c r="F271" s="126"/>
    </row>
    <row r="272" spans="1:6" ht="14.25">
      <c r="A272" s="126"/>
      <c r="B272" s="126"/>
      <c r="C272" s="127"/>
      <c r="D272" s="127"/>
      <c r="E272" s="127"/>
      <c r="F272" s="126"/>
    </row>
    <row r="273" spans="1:6" ht="14.25">
      <c r="A273" s="126"/>
      <c r="B273" s="126"/>
      <c r="C273" s="127"/>
      <c r="D273" s="127"/>
      <c r="E273" s="127"/>
      <c r="F273" s="126"/>
    </row>
    <row r="274" spans="1:6" ht="14.25">
      <c r="A274" s="126"/>
      <c r="B274" s="126"/>
      <c r="C274" s="127"/>
      <c r="D274" s="127"/>
      <c r="E274" s="127"/>
      <c r="F274" s="126"/>
    </row>
    <row r="275" spans="1:6" ht="14.25">
      <c r="A275" s="126"/>
      <c r="B275" s="126"/>
      <c r="C275" s="127"/>
      <c r="D275" s="127"/>
      <c r="E275" s="127"/>
      <c r="F275" s="126"/>
    </row>
    <row r="276" spans="1:6" ht="14.25">
      <c r="A276" s="126"/>
      <c r="B276" s="126"/>
      <c r="C276" s="127"/>
      <c r="D276" s="127"/>
      <c r="E276" s="127"/>
      <c r="F276" s="126"/>
    </row>
    <row r="277" spans="1:6" ht="14.25">
      <c r="A277" s="126"/>
      <c r="B277" s="126"/>
      <c r="C277" s="127"/>
      <c r="D277" s="127"/>
      <c r="E277" s="127"/>
      <c r="F277" s="126"/>
    </row>
    <row r="278" spans="1:6" ht="14.25">
      <c r="A278" s="126"/>
      <c r="B278" s="126"/>
      <c r="C278" s="127"/>
      <c r="D278" s="127"/>
      <c r="E278" s="127"/>
      <c r="F278" s="126"/>
    </row>
    <row r="279" spans="1:6" ht="14.25">
      <c r="A279" s="126"/>
      <c r="B279" s="126"/>
      <c r="C279" s="127"/>
      <c r="D279" s="127"/>
      <c r="E279" s="127"/>
      <c r="F279" s="126"/>
    </row>
    <row r="280" spans="1:6" ht="14.25">
      <c r="A280" s="126"/>
      <c r="B280" s="126"/>
      <c r="C280" s="127"/>
      <c r="D280" s="127"/>
      <c r="E280" s="127"/>
      <c r="F280" s="126"/>
    </row>
    <row r="281" spans="1:6" ht="14.25">
      <c r="A281" s="126"/>
      <c r="B281" s="126"/>
      <c r="C281" s="127"/>
      <c r="D281" s="127"/>
      <c r="E281" s="127"/>
      <c r="F281" s="126"/>
    </row>
    <row r="282" spans="1:6" ht="14.25">
      <c r="A282" s="126"/>
      <c r="B282" s="126"/>
      <c r="C282" s="127"/>
      <c r="D282" s="127"/>
      <c r="E282" s="127"/>
      <c r="F282" s="126"/>
    </row>
    <row r="283" spans="1:6" ht="14.25">
      <c r="A283" s="126"/>
      <c r="B283" s="126"/>
      <c r="C283" s="127"/>
      <c r="D283" s="127"/>
      <c r="E283" s="127"/>
      <c r="F283" s="126"/>
    </row>
    <row r="284" spans="1:6" ht="14.25">
      <c r="A284" s="126"/>
      <c r="B284" s="126"/>
      <c r="C284" s="127"/>
      <c r="D284" s="127"/>
      <c r="E284" s="127"/>
      <c r="F284" s="126"/>
    </row>
    <row r="285" spans="1:6" ht="14.25">
      <c r="A285" s="126"/>
      <c r="B285" s="126"/>
      <c r="C285" s="127"/>
      <c r="D285" s="127"/>
      <c r="E285" s="127"/>
      <c r="F285" s="126"/>
    </row>
    <row r="286" spans="1:6" ht="14.25">
      <c r="A286" s="126"/>
      <c r="B286" s="126"/>
      <c r="C286" s="127"/>
      <c r="D286" s="127"/>
      <c r="E286" s="127"/>
      <c r="F286" s="126"/>
    </row>
    <row r="287" spans="1:6" ht="14.25">
      <c r="A287" s="126"/>
      <c r="B287" s="126"/>
      <c r="C287" s="127"/>
      <c r="D287" s="127"/>
      <c r="E287" s="127"/>
      <c r="F287" s="126"/>
    </row>
    <row r="288" spans="1:6" ht="14.25">
      <c r="A288" s="126"/>
      <c r="B288" s="126"/>
      <c r="C288" s="127"/>
      <c r="D288" s="127"/>
      <c r="E288" s="127"/>
      <c r="F288" s="126"/>
    </row>
    <row r="289" spans="1:6" ht="14.25">
      <c r="A289" s="126"/>
      <c r="B289" s="126"/>
      <c r="C289" s="127"/>
      <c r="D289" s="127"/>
      <c r="E289" s="127"/>
      <c r="F289" s="126"/>
    </row>
    <row r="290" spans="1:6" ht="14.25">
      <c r="A290" s="126"/>
      <c r="B290" s="126"/>
      <c r="C290" s="127"/>
      <c r="D290" s="127"/>
      <c r="E290" s="127"/>
      <c r="F290" s="126"/>
    </row>
    <row r="291" spans="1:6" ht="14.25">
      <c r="A291" s="126"/>
      <c r="B291" s="126"/>
      <c r="C291" s="127"/>
      <c r="D291" s="127"/>
      <c r="E291" s="127"/>
      <c r="F291" s="126"/>
    </row>
    <row r="292" spans="1:6" ht="14.25">
      <c r="A292" s="126"/>
      <c r="B292" s="126"/>
      <c r="C292" s="127"/>
      <c r="D292" s="127"/>
      <c r="E292" s="127"/>
      <c r="F292" s="126"/>
    </row>
    <row r="293" spans="1:6" ht="14.25">
      <c r="A293" s="126"/>
      <c r="B293" s="126"/>
      <c r="C293" s="127"/>
      <c r="D293" s="127"/>
      <c r="E293" s="127"/>
      <c r="F293" s="126"/>
    </row>
    <row r="294" spans="1:6" ht="14.25">
      <c r="A294" s="126"/>
      <c r="B294" s="126"/>
      <c r="C294" s="127"/>
      <c r="D294" s="127"/>
      <c r="E294" s="127"/>
      <c r="F294" s="126"/>
    </row>
    <row r="295" spans="1:6" ht="14.25">
      <c r="A295" s="126"/>
      <c r="B295" s="126"/>
      <c r="C295" s="127"/>
      <c r="D295" s="127"/>
      <c r="E295" s="127"/>
      <c r="F295" s="126"/>
    </row>
    <row r="296" spans="1:6" ht="14.25">
      <c r="A296" s="126"/>
      <c r="B296" s="126"/>
      <c r="C296" s="127"/>
      <c r="D296" s="127"/>
      <c r="E296" s="127"/>
      <c r="F296" s="126"/>
    </row>
    <row r="297" spans="1:6" ht="14.25">
      <c r="A297" s="126"/>
      <c r="B297" s="126"/>
      <c r="C297" s="127"/>
      <c r="D297" s="127"/>
      <c r="E297" s="127"/>
      <c r="F297" s="126"/>
    </row>
    <row r="298" spans="1:6" ht="14.25">
      <c r="A298" s="126"/>
      <c r="B298" s="126"/>
      <c r="C298" s="127"/>
      <c r="D298" s="127"/>
      <c r="E298" s="127"/>
      <c r="F298" s="126"/>
    </row>
    <row r="299" spans="1:6" ht="14.25">
      <c r="A299" s="126"/>
      <c r="B299" s="126"/>
      <c r="C299" s="127"/>
      <c r="D299" s="127"/>
      <c r="E299" s="127"/>
      <c r="F299" s="126"/>
    </row>
    <row r="300" spans="1:6" ht="14.25">
      <c r="A300" s="126"/>
      <c r="B300" s="126"/>
      <c r="C300" s="127"/>
      <c r="D300" s="127"/>
      <c r="E300" s="127"/>
      <c r="F300" s="126"/>
    </row>
    <row r="301" spans="1:6" ht="14.25">
      <c r="A301" s="126"/>
      <c r="B301" s="126"/>
      <c r="C301" s="127"/>
      <c r="D301" s="127"/>
      <c r="E301" s="127"/>
      <c r="F301" s="126"/>
    </row>
    <row r="302" spans="1:6" ht="14.25">
      <c r="A302" s="126"/>
      <c r="B302" s="126"/>
      <c r="C302" s="127"/>
      <c r="D302" s="127"/>
      <c r="E302" s="127"/>
      <c r="F302" s="126"/>
    </row>
    <row r="303" spans="1:6" ht="14.25">
      <c r="A303" s="126"/>
      <c r="B303" s="126"/>
      <c r="C303" s="127"/>
      <c r="D303" s="127"/>
      <c r="E303" s="127"/>
      <c r="F303" s="126"/>
    </row>
    <row r="304" spans="1:6" ht="14.25">
      <c r="A304" s="126"/>
      <c r="B304" s="126"/>
      <c r="C304" s="127"/>
      <c r="D304" s="127"/>
      <c r="E304" s="127"/>
      <c r="F304" s="126"/>
    </row>
    <row r="305" spans="1:6" ht="14.25">
      <c r="A305" s="126"/>
      <c r="B305" s="126"/>
      <c r="C305" s="127"/>
      <c r="D305" s="127"/>
      <c r="E305" s="127"/>
      <c r="F305" s="126"/>
    </row>
    <row r="306" spans="1:6" ht="14.25">
      <c r="A306" s="126"/>
      <c r="B306" s="126"/>
      <c r="C306" s="127"/>
      <c r="D306" s="127"/>
      <c r="E306" s="127"/>
      <c r="F306" s="126"/>
    </row>
    <row r="307" spans="1:6" ht="14.25">
      <c r="A307" s="126"/>
      <c r="B307" s="126"/>
      <c r="C307" s="127"/>
      <c r="D307" s="127"/>
      <c r="E307" s="127"/>
      <c r="F307" s="126"/>
    </row>
    <row r="308" spans="1:6" ht="14.25">
      <c r="A308" s="126"/>
      <c r="B308" s="126"/>
      <c r="C308" s="127"/>
      <c r="D308" s="127"/>
      <c r="E308" s="127"/>
      <c r="F308" s="126"/>
    </row>
    <row r="309" spans="1:6" ht="14.25">
      <c r="A309" s="126"/>
      <c r="B309" s="126"/>
      <c r="C309" s="127"/>
      <c r="D309" s="127"/>
      <c r="E309" s="127"/>
      <c r="F309" s="126"/>
    </row>
    <row r="310" spans="1:6" ht="14.25">
      <c r="A310" s="126"/>
      <c r="B310" s="126"/>
      <c r="C310" s="127"/>
      <c r="D310" s="127"/>
      <c r="E310" s="127"/>
      <c r="F310" s="126"/>
    </row>
    <row r="311" spans="1:6" ht="14.25">
      <c r="A311" s="126"/>
      <c r="B311" s="126"/>
      <c r="C311" s="127"/>
      <c r="D311" s="127"/>
      <c r="E311" s="127"/>
      <c r="F311" s="126"/>
    </row>
    <row r="312" spans="1:6" ht="14.25">
      <c r="A312" s="126"/>
      <c r="B312" s="126"/>
      <c r="C312" s="127"/>
      <c r="D312" s="127"/>
      <c r="E312" s="127"/>
      <c r="F312" s="126"/>
    </row>
    <row r="313" spans="1:6" ht="14.25">
      <c r="A313" s="126"/>
      <c r="B313" s="126"/>
      <c r="C313" s="127"/>
      <c r="D313" s="127"/>
      <c r="E313" s="127"/>
      <c r="F313" s="126"/>
    </row>
    <row r="314" spans="1:6" ht="14.25">
      <c r="A314" s="126"/>
      <c r="B314" s="126"/>
      <c r="C314" s="127"/>
      <c r="D314" s="127"/>
      <c r="E314" s="127"/>
      <c r="F314" s="126"/>
    </row>
    <row r="315" spans="1:6" ht="14.25">
      <c r="A315" s="126"/>
      <c r="B315" s="126"/>
      <c r="C315" s="127"/>
      <c r="D315" s="127"/>
      <c r="E315" s="127"/>
      <c r="F315" s="126"/>
    </row>
    <row r="316" spans="1:6" ht="14.25">
      <c r="A316" s="126"/>
      <c r="B316" s="126"/>
      <c r="C316" s="127"/>
      <c r="D316" s="127"/>
      <c r="E316" s="127"/>
      <c r="F316" s="126"/>
    </row>
    <row r="317" spans="1:6" ht="14.25">
      <c r="A317" s="126"/>
      <c r="B317" s="126"/>
      <c r="C317" s="127"/>
      <c r="D317" s="127"/>
      <c r="E317" s="127"/>
      <c r="F317" s="126"/>
    </row>
    <row r="318" spans="1:6" ht="14.25">
      <c r="A318" s="126"/>
      <c r="B318" s="126"/>
      <c r="C318" s="127"/>
      <c r="D318" s="127"/>
      <c r="E318" s="127"/>
      <c r="F318" s="126"/>
    </row>
    <row r="319" spans="1:6" ht="14.25">
      <c r="A319" s="126"/>
      <c r="B319" s="126"/>
      <c r="C319" s="127"/>
      <c r="D319" s="127"/>
      <c r="E319" s="127"/>
      <c r="F319" s="126"/>
    </row>
    <row r="320" spans="1:6" ht="14.25">
      <c r="A320" s="126"/>
      <c r="B320" s="126"/>
      <c r="C320" s="127"/>
      <c r="D320" s="127"/>
      <c r="E320" s="127"/>
      <c r="F320" s="126"/>
    </row>
    <row r="321" spans="1:6" ht="14.25">
      <c r="A321" s="126"/>
      <c r="B321" s="126"/>
      <c r="C321" s="127"/>
      <c r="D321" s="127"/>
      <c r="E321" s="127"/>
      <c r="F321" s="126"/>
    </row>
    <row r="322" spans="1:6" ht="14.25">
      <c r="A322" s="126"/>
      <c r="B322" s="126"/>
      <c r="C322" s="127"/>
      <c r="D322" s="127"/>
      <c r="E322" s="127"/>
      <c r="F322" s="126"/>
    </row>
    <row r="323" spans="1:6" ht="14.25">
      <c r="A323" s="126"/>
      <c r="B323" s="126"/>
      <c r="C323" s="127"/>
      <c r="D323" s="127"/>
      <c r="E323" s="127"/>
      <c r="F323" s="126"/>
    </row>
    <row r="324" spans="1:6" ht="14.25">
      <c r="A324" s="126"/>
      <c r="B324" s="126"/>
      <c r="C324" s="127"/>
      <c r="D324" s="127"/>
      <c r="E324" s="127"/>
      <c r="F324" s="126"/>
    </row>
    <row r="325" spans="1:6" ht="14.25">
      <c r="A325" s="126"/>
      <c r="B325" s="126"/>
      <c r="C325" s="127"/>
      <c r="D325" s="127"/>
      <c r="E325" s="127"/>
      <c r="F325" s="126"/>
    </row>
    <row r="326" spans="1:6" ht="14.25">
      <c r="A326" s="126"/>
      <c r="B326" s="126"/>
      <c r="C326" s="127"/>
      <c r="D326" s="127"/>
      <c r="E326" s="127"/>
      <c r="F326" s="126"/>
    </row>
    <row r="327" spans="1:6" ht="14.25">
      <c r="A327" s="126"/>
      <c r="B327" s="126"/>
      <c r="C327" s="127"/>
      <c r="D327" s="127"/>
      <c r="E327" s="127"/>
      <c r="F327" s="126"/>
    </row>
    <row r="328" spans="1:6" ht="14.25">
      <c r="A328" s="126"/>
      <c r="B328" s="126"/>
      <c r="C328" s="127"/>
      <c r="D328" s="127"/>
      <c r="E328" s="127"/>
      <c r="F328" s="126"/>
    </row>
    <row r="329" spans="1:6" ht="14.25">
      <c r="A329" s="126"/>
      <c r="B329" s="126"/>
      <c r="C329" s="127"/>
      <c r="D329" s="127"/>
      <c r="E329" s="127"/>
      <c r="F329" s="126"/>
    </row>
    <row r="330" spans="1:6" ht="14.25">
      <c r="A330" s="126"/>
      <c r="B330" s="126"/>
      <c r="C330" s="127"/>
      <c r="D330" s="127"/>
      <c r="E330" s="127"/>
      <c r="F330" s="126"/>
    </row>
    <row r="331" spans="1:6" ht="14.25">
      <c r="A331" s="126"/>
      <c r="B331" s="126"/>
      <c r="C331" s="127"/>
      <c r="D331" s="127"/>
      <c r="E331" s="127"/>
      <c r="F331" s="126"/>
    </row>
    <row r="332" spans="1:6" ht="14.25">
      <c r="A332" s="126"/>
      <c r="B332" s="126"/>
      <c r="C332" s="127"/>
      <c r="D332" s="127"/>
      <c r="E332" s="127"/>
      <c r="F332" s="126"/>
    </row>
    <row r="333" spans="1:6" ht="14.25">
      <c r="A333" s="126"/>
      <c r="B333" s="126"/>
      <c r="C333" s="127"/>
      <c r="D333" s="127"/>
      <c r="E333" s="127"/>
      <c r="F333" s="126"/>
    </row>
    <row r="334" spans="1:6" ht="14.25">
      <c r="A334" s="126"/>
      <c r="B334" s="126"/>
      <c r="C334" s="127"/>
      <c r="D334" s="127"/>
      <c r="E334" s="127"/>
      <c r="F334" s="126"/>
    </row>
    <row r="335" spans="1:6" ht="14.25">
      <c r="A335" s="126"/>
      <c r="B335" s="126"/>
      <c r="C335" s="127"/>
      <c r="D335" s="127"/>
      <c r="E335" s="127"/>
      <c r="F335" s="126"/>
    </row>
    <row r="336" spans="1:6" ht="14.25">
      <c r="A336" s="126"/>
      <c r="B336" s="126"/>
      <c r="C336" s="127"/>
      <c r="D336" s="127"/>
      <c r="E336" s="127"/>
      <c r="F336" s="126"/>
    </row>
    <row r="337" spans="1:6" ht="14.25">
      <c r="A337" s="126"/>
      <c r="B337" s="126"/>
      <c r="C337" s="127"/>
      <c r="D337" s="127"/>
      <c r="E337" s="127"/>
      <c r="F337" s="126"/>
    </row>
    <row r="338" spans="1:6" ht="14.25">
      <c r="A338" s="126"/>
      <c r="B338" s="126"/>
      <c r="C338" s="127"/>
      <c r="D338" s="127"/>
      <c r="E338" s="127"/>
      <c r="F338" s="126"/>
    </row>
    <row r="339" spans="1:6" ht="14.25">
      <c r="A339" s="126"/>
      <c r="B339" s="126"/>
      <c r="C339" s="127"/>
      <c r="D339" s="127"/>
      <c r="E339" s="127"/>
      <c r="F339" s="126"/>
    </row>
    <row r="340" spans="1:6" ht="14.25">
      <c r="A340" s="126"/>
      <c r="B340" s="126"/>
      <c r="C340" s="127"/>
      <c r="D340" s="127"/>
      <c r="E340" s="127"/>
      <c r="F340" s="126"/>
    </row>
    <row r="341" spans="1:6" ht="14.25">
      <c r="A341" s="126"/>
      <c r="B341" s="126"/>
      <c r="C341" s="127"/>
      <c r="D341" s="127"/>
      <c r="E341" s="127"/>
      <c r="F341" s="126"/>
    </row>
    <row r="342" spans="1:6" ht="14.25">
      <c r="A342" s="126"/>
      <c r="B342" s="126"/>
      <c r="C342" s="127"/>
      <c r="D342" s="127"/>
      <c r="E342" s="127"/>
      <c r="F342" s="126"/>
    </row>
    <row r="343" spans="1:6" ht="14.25">
      <c r="A343" s="126"/>
      <c r="B343" s="126"/>
      <c r="C343" s="127"/>
      <c r="D343" s="127"/>
      <c r="E343" s="127"/>
      <c r="F343" s="126"/>
    </row>
    <row r="344" spans="1:6" ht="14.25">
      <c r="A344" s="126"/>
      <c r="B344" s="126"/>
      <c r="C344" s="127"/>
      <c r="D344" s="127"/>
      <c r="E344" s="127"/>
      <c r="F344" s="126"/>
    </row>
    <row r="345" spans="1:6" ht="14.25">
      <c r="A345" s="126"/>
      <c r="B345" s="126"/>
      <c r="C345" s="127"/>
      <c r="D345" s="127"/>
      <c r="E345" s="127"/>
      <c r="F345" s="126"/>
    </row>
    <row r="346" spans="1:6" ht="14.25">
      <c r="A346" s="126"/>
      <c r="B346" s="126"/>
      <c r="C346" s="127"/>
      <c r="D346" s="127"/>
      <c r="E346" s="127"/>
      <c r="F346" s="126"/>
    </row>
    <row r="347" spans="1:6" ht="14.25">
      <c r="A347" s="126"/>
      <c r="B347" s="126"/>
      <c r="C347" s="127"/>
      <c r="D347" s="127"/>
      <c r="E347" s="127"/>
      <c r="F347" s="126"/>
    </row>
    <row r="348" spans="1:6" ht="14.25">
      <c r="A348" s="126"/>
      <c r="B348" s="126"/>
      <c r="C348" s="127"/>
      <c r="D348" s="127"/>
      <c r="E348" s="127"/>
      <c r="F348" s="126"/>
    </row>
    <row r="349" spans="1:6" ht="14.25">
      <c r="A349" s="126"/>
      <c r="B349" s="126"/>
      <c r="C349" s="127"/>
      <c r="D349" s="127"/>
      <c r="E349" s="127"/>
      <c r="F349" s="126"/>
    </row>
    <row r="350" spans="1:6" ht="14.25">
      <c r="A350" s="126"/>
      <c r="B350" s="126"/>
      <c r="C350" s="127"/>
      <c r="D350" s="127"/>
      <c r="E350" s="127"/>
      <c r="F350" s="126"/>
    </row>
    <row r="351" spans="1:6" ht="14.25">
      <c r="A351" s="126"/>
      <c r="B351" s="126"/>
      <c r="C351" s="127"/>
      <c r="D351" s="127"/>
      <c r="E351" s="127"/>
      <c r="F351" s="126"/>
    </row>
    <row r="352" spans="1:6" ht="14.25">
      <c r="A352" s="126"/>
      <c r="B352" s="126"/>
      <c r="C352" s="127"/>
      <c r="D352" s="127"/>
      <c r="E352" s="127"/>
      <c r="F352" s="126"/>
    </row>
    <row r="353" spans="1:6" ht="14.25">
      <c r="A353" s="126"/>
      <c r="B353" s="126"/>
      <c r="C353" s="127"/>
      <c r="D353" s="127"/>
      <c r="E353" s="127"/>
      <c r="F353" s="126"/>
    </row>
    <row r="354" spans="1:6" ht="14.25">
      <c r="A354" s="126"/>
      <c r="B354" s="126"/>
      <c r="C354" s="127"/>
      <c r="D354" s="127"/>
      <c r="E354" s="127"/>
      <c r="F354" s="126"/>
    </row>
    <row r="355" spans="1:6" ht="14.25">
      <c r="A355" s="126"/>
      <c r="B355" s="126"/>
      <c r="C355" s="127"/>
      <c r="D355" s="127"/>
      <c r="E355" s="127"/>
      <c r="F355" s="126"/>
    </row>
    <row r="356" spans="1:6" ht="14.25">
      <c r="A356" s="126"/>
      <c r="B356" s="126"/>
      <c r="C356" s="127"/>
      <c r="D356" s="127"/>
      <c r="E356" s="127"/>
      <c r="F356" s="126"/>
    </row>
    <row r="357" spans="1:6" ht="14.25">
      <c r="A357" s="126"/>
      <c r="B357" s="126"/>
      <c r="C357" s="127"/>
      <c r="D357" s="127"/>
      <c r="E357" s="127"/>
      <c r="F357" s="126"/>
    </row>
    <row r="358" spans="1:6" ht="14.25">
      <c r="A358" s="126"/>
      <c r="B358" s="126"/>
      <c r="C358" s="127"/>
      <c r="D358" s="127"/>
      <c r="E358" s="127"/>
      <c r="F358" s="126"/>
    </row>
    <row r="359" spans="1:6" ht="14.25">
      <c r="A359" s="126"/>
      <c r="B359" s="126"/>
      <c r="C359" s="127"/>
      <c r="D359" s="127"/>
      <c r="E359" s="127"/>
      <c r="F359" s="126"/>
    </row>
    <row r="360" spans="1:6" ht="14.25">
      <c r="A360" s="126"/>
      <c r="B360" s="126"/>
      <c r="C360" s="127"/>
      <c r="D360" s="127"/>
      <c r="E360" s="127"/>
      <c r="F360" s="126"/>
    </row>
    <row r="361" spans="1:6" ht="14.25">
      <c r="A361" s="126"/>
      <c r="B361" s="126"/>
      <c r="C361" s="127"/>
      <c r="D361" s="127"/>
      <c r="E361" s="127"/>
      <c r="F361" s="126"/>
    </row>
    <row r="362" spans="1:6" ht="14.25">
      <c r="A362" s="126"/>
      <c r="B362" s="126"/>
      <c r="C362" s="127"/>
      <c r="D362" s="127"/>
      <c r="E362" s="127"/>
      <c r="F362" s="126"/>
    </row>
    <row r="363" spans="1:6" ht="14.25">
      <c r="A363" s="126"/>
      <c r="B363" s="126"/>
      <c r="C363" s="127"/>
      <c r="D363" s="127"/>
      <c r="E363" s="127"/>
      <c r="F363" s="126"/>
    </row>
    <row r="364" spans="1:6" ht="14.25">
      <c r="A364" s="126"/>
      <c r="B364" s="126"/>
      <c r="C364" s="127"/>
      <c r="D364" s="127"/>
      <c r="E364" s="127"/>
      <c r="F364" s="126"/>
    </row>
    <row r="365" spans="1:6" ht="14.25">
      <c r="A365" s="126"/>
      <c r="B365" s="126"/>
      <c r="C365" s="127"/>
      <c r="D365" s="127"/>
      <c r="E365" s="127"/>
      <c r="F365" s="126"/>
    </row>
    <row r="366" spans="1:6" ht="14.25">
      <c r="A366" s="126"/>
      <c r="B366" s="126"/>
      <c r="C366" s="127"/>
      <c r="D366" s="127"/>
      <c r="E366" s="127"/>
      <c r="F366" s="126"/>
    </row>
    <row r="367" spans="1:6" ht="14.25">
      <c r="A367" s="126"/>
      <c r="B367" s="126"/>
      <c r="C367" s="127"/>
      <c r="D367" s="127"/>
      <c r="E367" s="127"/>
      <c r="F367" s="126"/>
    </row>
    <row r="368" spans="1:6" ht="14.25">
      <c r="A368" s="126"/>
      <c r="B368" s="126"/>
      <c r="C368" s="127"/>
      <c r="D368" s="127"/>
      <c r="E368" s="127"/>
      <c r="F368" s="126"/>
    </row>
    <row r="369" spans="1:6" ht="14.25">
      <c r="A369" s="126"/>
      <c r="B369" s="126"/>
      <c r="C369" s="127"/>
      <c r="D369" s="127"/>
      <c r="E369" s="127"/>
      <c r="F369" s="126"/>
    </row>
    <row r="370" spans="1:6" ht="14.25">
      <c r="A370" s="126"/>
      <c r="B370" s="126"/>
      <c r="C370" s="127"/>
      <c r="D370" s="127"/>
      <c r="E370" s="127"/>
      <c r="F370" s="126"/>
    </row>
  </sheetData>
  <mergeCells count="3">
    <mergeCell ref="A58:F58"/>
    <mergeCell ref="A1:G1"/>
    <mergeCell ref="A3:G3"/>
  </mergeCells>
  <printOptions horizontalCentered="1" verticalCentered="1"/>
  <pageMargins left="0.7480314960629921" right="0.7480314960629921" top="0.5511811023622047" bottom="0.7480314960629921" header="0.5118110236220472" footer="0.5118110236220472"/>
  <pageSetup firstPageNumber="173" useFirstPageNumber="1" horizontalDpi="600" verticalDpi="600" orientation="landscape" r:id="rId1"/>
  <headerFooter alignWithMargins="0">
    <oddHeader>&amp;R&amp;"Arial,Bold"Annex C to Appendix H(ii)</oddHeader>
    <oddFooter>&amp;L&amp;F\&amp;A&amp;R&amp;P</oddFooter>
  </headerFooter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B27">
      <selection activeCell="E46" sqref="E46"/>
    </sheetView>
  </sheetViews>
  <sheetFormatPr defaultColWidth="9.140625" defaultRowHeight="12.75"/>
  <cols>
    <col min="1" max="1" width="5.7109375" style="1" customWidth="1"/>
    <col min="2" max="2" width="65.7109375" style="1" bestFit="1" customWidth="1"/>
    <col min="3" max="5" width="12.7109375" style="2" customWidth="1"/>
    <col min="6" max="7" width="12.7109375" style="1" customWidth="1"/>
    <col min="8" max="16384" width="9.140625" style="1" customWidth="1"/>
  </cols>
  <sheetData>
    <row r="2" spans="1:7" ht="18">
      <c r="A2" s="302" t="s">
        <v>71</v>
      </c>
      <c r="B2" s="302"/>
      <c r="C2" s="302"/>
      <c r="D2" s="302"/>
      <c r="E2" s="302"/>
      <c r="F2" s="302"/>
      <c r="G2" s="302"/>
    </row>
    <row r="3" spans="1:6" ht="18">
      <c r="A3" s="17"/>
      <c r="B3" s="18"/>
      <c r="C3" s="18"/>
      <c r="D3" s="18"/>
      <c r="E3" s="18"/>
      <c r="F3" s="18"/>
    </row>
    <row r="4" spans="1:7" ht="18">
      <c r="A4" s="302" t="s">
        <v>137</v>
      </c>
      <c r="B4" s="302"/>
      <c r="C4" s="302"/>
      <c r="D4" s="302"/>
      <c r="E4" s="302"/>
      <c r="F4" s="302"/>
      <c r="G4" s="302"/>
    </row>
    <row r="5" ht="15" thickBot="1"/>
    <row r="6" spans="2:7" ht="14.25">
      <c r="B6" s="113"/>
      <c r="C6" s="78" t="s">
        <v>0</v>
      </c>
      <c r="D6" s="78" t="s">
        <v>1</v>
      </c>
      <c r="E6" s="78" t="s">
        <v>2</v>
      </c>
      <c r="F6" s="78" t="s">
        <v>37</v>
      </c>
      <c r="G6" s="53" t="s">
        <v>63</v>
      </c>
    </row>
    <row r="7" spans="2:7" ht="14.25">
      <c r="B7" s="114"/>
      <c r="C7" s="3" t="s">
        <v>258</v>
      </c>
      <c r="D7" s="3" t="s">
        <v>260</v>
      </c>
      <c r="E7" s="3" t="s">
        <v>260</v>
      </c>
      <c r="F7" s="3" t="s">
        <v>260</v>
      </c>
      <c r="G7" s="56" t="s">
        <v>260</v>
      </c>
    </row>
    <row r="8" spans="2:7" ht="14.25">
      <c r="B8" s="114" t="s">
        <v>3</v>
      </c>
      <c r="C8" s="3" t="s">
        <v>259</v>
      </c>
      <c r="D8" s="3" t="s">
        <v>261</v>
      </c>
      <c r="E8" s="3" t="s">
        <v>261</v>
      </c>
      <c r="F8" s="3" t="s">
        <v>261</v>
      </c>
      <c r="G8" s="56" t="s">
        <v>261</v>
      </c>
    </row>
    <row r="9" spans="2:7" ht="14.25">
      <c r="B9" s="115"/>
      <c r="C9" s="47" t="s">
        <v>5</v>
      </c>
      <c r="D9" s="47" t="s">
        <v>5</v>
      </c>
      <c r="E9" s="47" t="s">
        <v>5</v>
      </c>
      <c r="F9" s="47" t="s">
        <v>5</v>
      </c>
      <c r="G9" s="58" t="s">
        <v>5</v>
      </c>
    </row>
    <row r="10" spans="2:7" ht="14.25">
      <c r="B10" s="114"/>
      <c r="C10" s="253"/>
      <c r="D10" s="19"/>
      <c r="E10" s="19"/>
      <c r="F10" s="19"/>
      <c r="G10" s="84"/>
    </row>
    <row r="11" spans="2:7" ht="25.5">
      <c r="B11" s="273" t="s">
        <v>255</v>
      </c>
      <c r="C11" s="10"/>
      <c r="D11" s="7"/>
      <c r="E11" s="7"/>
      <c r="F11" s="7"/>
      <c r="G11" s="60"/>
    </row>
    <row r="12" spans="2:7" ht="14.25">
      <c r="B12" s="69"/>
      <c r="C12" s="10"/>
      <c r="D12" s="7"/>
      <c r="E12" s="7"/>
      <c r="F12" s="7"/>
      <c r="G12" s="60"/>
    </row>
    <row r="13" spans="2:8" ht="14.25">
      <c r="B13" s="66" t="s">
        <v>28</v>
      </c>
      <c r="C13" s="24">
        <f>5000+570+300+229</f>
        <v>6099</v>
      </c>
      <c r="D13" s="6">
        <f>5000+350+500+300</f>
        <v>6150</v>
      </c>
      <c r="E13" s="6">
        <f>5000+300+300</f>
        <v>5600</v>
      </c>
      <c r="F13" s="6">
        <f>5000+300</f>
        <v>5300</v>
      </c>
      <c r="G13" s="88">
        <f>5000+300</f>
        <v>5300</v>
      </c>
      <c r="H13" s="151"/>
    </row>
    <row r="14" spans="2:8" ht="14.25">
      <c r="B14" s="66" t="s">
        <v>17</v>
      </c>
      <c r="C14" s="24">
        <f>3969+980</f>
        <v>4949</v>
      </c>
      <c r="D14" s="6">
        <v>3969</v>
      </c>
      <c r="E14" s="6">
        <v>3969</v>
      </c>
      <c r="F14" s="6">
        <v>3969</v>
      </c>
      <c r="G14" s="88">
        <v>3969</v>
      </c>
      <c r="H14" s="151"/>
    </row>
    <row r="15" spans="2:8" ht="14.25">
      <c r="B15" s="66" t="s">
        <v>65</v>
      </c>
      <c r="C15" s="24">
        <f>221+37</f>
        <v>258</v>
      </c>
      <c r="D15" s="6">
        <v>0</v>
      </c>
      <c r="E15" s="6">
        <v>0</v>
      </c>
      <c r="F15" s="6">
        <v>0</v>
      </c>
      <c r="G15" s="88">
        <v>0</v>
      </c>
      <c r="H15" s="151"/>
    </row>
    <row r="16" spans="2:7" ht="14.25">
      <c r="B16" s="94" t="s">
        <v>233</v>
      </c>
      <c r="C16" s="10">
        <v>300</v>
      </c>
      <c r="D16" s="7">
        <v>0</v>
      </c>
      <c r="E16" s="7">
        <v>0</v>
      </c>
      <c r="F16" s="7">
        <v>0</v>
      </c>
      <c r="G16" s="60">
        <v>0</v>
      </c>
    </row>
    <row r="17" spans="2:7" ht="14.25">
      <c r="B17" s="89" t="s">
        <v>192</v>
      </c>
      <c r="C17" s="8">
        <f>SUM(C11:C16)</f>
        <v>11606</v>
      </c>
      <c r="D17" s="8">
        <f>SUM(D11:D16)</f>
        <v>10119</v>
      </c>
      <c r="E17" s="8">
        <f>SUM(E11:E16)</f>
        <v>9569</v>
      </c>
      <c r="F17" s="8">
        <f>SUM(F11:F16)</f>
        <v>9269</v>
      </c>
      <c r="G17" s="68">
        <f>SUM(G11:G16)</f>
        <v>9269</v>
      </c>
    </row>
    <row r="18" spans="2:7" ht="14.25">
      <c r="B18" s="117"/>
      <c r="C18" s="258"/>
      <c r="D18" s="259"/>
      <c r="E18" s="259"/>
      <c r="F18" s="259"/>
      <c r="G18" s="260"/>
    </row>
    <row r="19" spans="2:7" ht="15.75" thickBot="1">
      <c r="B19" s="135" t="s">
        <v>138</v>
      </c>
      <c r="C19" s="222">
        <f>C17</f>
        <v>11606</v>
      </c>
      <c r="D19" s="222">
        <f>D17</f>
        <v>10119</v>
      </c>
      <c r="E19" s="222">
        <f>E17</f>
        <v>9569</v>
      </c>
      <c r="F19" s="222">
        <f>F17</f>
        <v>9269</v>
      </c>
      <c r="G19" s="275">
        <f>G17</f>
        <v>9269</v>
      </c>
    </row>
    <row r="33" spans="1:7" ht="18">
      <c r="A33" s="302" t="s">
        <v>71</v>
      </c>
      <c r="B33" s="302"/>
      <c r="C33" s="302"/>
      <c r="D33" s="302"/>
      <c r="E33" s="302"/>
      <c r="F33" s="302"/>
      <c r="G33" s="302"/>
    </row>
    <row r="34" spans="1:6" ht="18">
      <c r="A34" s="17"/>
      <c r="B34" s="18"/>
      <c r="C34" s="18"/>
      <c r="D34" s="18"/>
      <c r="E34" s="18"/>
      <c r="F34" s="18"/>
    </row>
    <row r="35" spans="1:7" ht="18">
      <c r="A35" s="302" t="s">
        <v>141</v>
      </c>
      <c r="B35" s="302"/>
      <c r="C35" s="302"/>
      <c r="D35" s="302"/>
      <c r="E35" s="302"/>
      <c r="F35" s="302"/>
      <c r="G35" s="302"/>
    </row>
    <row r="36" ht="15" thickBot="1"/>
    <row r="37" spans="2:7" ht="14.25">
      <c r="B37" s="113"/>
      <c r="C37" s="78" t="s">
        <v>0</v>
      </c>
      <c r="D37" s="78" t="s">
        <v>1</v>
      </c>
      <c r="E37" s="78" t="s">
        <v>2</v>
      </c>
      <c r="F37" s="78" t="s">
        <v>37</v>
      </c>
      <c r="G37" s="53" t="s">
        <v>63</v>
      </c>
    </row>
    <row r="38" spans="2:7" ht="14.25">
      <c r="B38" s="114"/>
      <c r="C38" s="3" t="s">
        <v>258</v>
      </c>
      <c r="D38" s="3" t="s">
        <v>260</v>
      </c>
      <c r="E38" s="3" t="s">
        <v>260</v>
      </c>
      <c r="F38" s="3" t="s">
        <v>260</v>
      </c>
      <c r="G38" s="56" t="s">
        <v>260</v>
      </c>
    </row>
    <row r="39" spans="2:7" ht="14.25">
      <c r="B39" s="114" t="s">
        <v>3</v>
      </c>
      <c r="C39" s="3" t="s">
        <v>259</v>
      </c>
      <c r="D39" s="3" t="s">
        <v>261</v>
      </c>
      <c r="E39" s="3" t="s">
        <v>261</v>
      </c>
      <c r="F39" s="3" t="s">
        <v>261</v>
      </c>
      <c r="G39" s="56" t="s">
        <v>261</v>
      </c>
    </row>
    <row r="40" spans="2:7" ht="14.25">
      <c r="B40" s="115"/>
      <c r="C40" s="47" t="s">
        <v>5</v>
      </c>
      <c r="D40" s="47" t="s">
        <v>5</v>
      </c>
      <c r="E40" s="47" t="s">
        <v>5</v>
      </c>
      <c r="F40" s="47" t="s">
        <v>5</v>
      </c>
      <c r="G40" s="58" t="s">
        <v>5</v>
      </c>
    </row>
    <row r="41" spans="2:7" ht="14.25">
      <c r="B41" s="116"/>
      <c r="C41" s="10"/>
      <c r="D41" s="11"/>
      <c r="E41" s="11"/>
      <c r="F41" s="11"/>
      <c r="G41" s="63"/>
    </row>
    <row r="42" spans="2:7" ht="25.5">
      <c r="B42" s="273" t="s">
        <v>255</v>
      </c>
      <c r="C42" s="10"/>
      <c r="D42" s="7"/>
      <c r="E42" s="7"/>
      <c r="F42" s="7"/>
      <c r="G42" s="60"/>
    </row>
    <row r="43" spans="2:7" ht="14.25">
      <c r="B43" s="69"/>
      <c r="C43" s="11"/>
      <c r="D43" s="7"/>
      <c r="E43" s="7"/>
      <c r="F43" s="7"/>
      <c r="G43" s="60"/>
    </row>
    <row r="44" spans="2:8" ht="14.25">
      <c r="B44" s="86" t="s">
        <v>142</v>
      </c>
      <c r="C44" s="44">
        <v>27764</v>
      </c>
      <c r="D44" s="7">
        <f>26471+14000</f>
        <v>40471</v>
      </c>
      <c r="E44" s="6">
        <v>6224</v>
      </c>
      <c r="F44" s="6">
        <v>6224</v>
      </c>
      <c r="G44" s="88">
        <v>6224</v>
      </c>
      <c r="H44" s="151"/>
    </row>
    <row r="45" spans="2:8" ht="14.25">
      <c r="B45" s="299" t="s">
        <v>272</v>
      </c>
      <c r="C45" s="44"/>
      <c r="D45" s="7"/>
      <c r="E45" s="7">
        <v>10000</v>
      </c>
      <c r="F45" s="7"/>
      <c r="G45" s="88"/>
      <c r="H45" s="151"/>
    </row>
    <row r="46" spans="2:7" ht="14.25">
      <c r="B46" s="108"/>
      <c r="C46" s="10"/>
      <c r="D46" s="7"/>
      <c r="E46" s="7"/>
      <c r="F46" s="7"/>
      <c r="G46" s="60"/>
    </row>
    <row r="47" spans="2:7" ht="14.25">
      <c r="B47" s="89" t="s">
        <v>192</v>
      </c>
      <c r="C47" s="8">
        <f>SUM(C42:C44)</f>
        <v>27764</v>
      </c>
      <c r="D47" s="8">
        <f>SUM(D42:D46)</f>
        <v>40471</v>
      </c>
      <c r="E47" s="8">
        <f>SUM(E42:E46)</f>
        <v>16224</v>
      </c>
      <c r="F47" s="8">
        <f>SUM(F42:F46)</f>
        <v>6224</v>
      </c>
      <c r="G47" s="68">
        <f>SUM(G42:G46)</f>
        <v>6224</v>
      </c>
    </row>
    <row r="48" spans="2:7" ht="14.25">
      <c r="B48" s="117"/>
      <c r="C48" s="258"/>
      <c r="D48" s="259"/>
      <c r="E48" s="259"/>
      <c r="F48" s="259"/>
      <c r="G48" s="260"/>
    </row>
    <row r="49" spans="2:7" ht="15.75" thickBot="1">
      <c r="B49" s="135" t="s">
        <v>138</v>
      </c>
      <c r="C49" s="276">
        <f>C47</f>
        <v>27764</v>
      </c>
      <c r="D49" s="276">
        <f>D47</f>
        <v>40471</v>
      </c>
      <c r="E49" s="276">
        <f>E47</f>
        <v>16224</v>
      </c>
      <c r="F49" s="276">
        <f>F47</f>
        <v>6224</v>
      </c>
      <c r="G49" s="136">
        <f>G47</f>
        <v>6224</v>
      </c>
    </row>
  </sheetData>
  <mergeCells count="4">
    <mergeCell ref="A2:G2"/>
    <mergeCell ref="A4:G4"/>
    <mergeCell ref="A33:G33"/>
    <mergeCell ref="A35:G3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175" useFirstPageNumber="1" horizontalDpi="600" verticalDpi="600" orientation="landscape" paperSize="9" scale="95" r:id="rId1"/>
  <headerFooter alignWithMargins="0">
    <oddHeader>&amp;R&amp;"Arial,Bold"Annex D to Appendix H(ii)</oddHeader>
    <oddFooter>&amp;L&amp;F\&amp;A&amp;R&amp;P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11" sqref="F11"/>
    </sheetView>
  </sheetViews>
  <sheetFormatPr defaultColWidth="9.140625" defaultRowHeight="12.75"/>
  <cols>
    <col min="1" max="1" width="5.7109375" style="1" customWidth="1"/>
    <col min="2" max="2" width="65.7109375" style="1" bestFit="1" customWidth="1"/>
    <col min="3" max="5" width="12.7109375" style="2" customWidth="1"/>
    <col min="6" max="7" width="12.7109375" style="1" customWidth="1"/>
    <col min="8" max="16384" width="9.140625" style="1" customWidth="1"/>
  </cols>
  <sheetData>
    <row r="1" spans="1:7" ht="18">
      <c r="A1" s="302" t="s">
        <v>71</v>
      </c>
      <c r="B1" s="302"/>
      <c r="C1" s="302"/>
      <c r="D1" s="302"/>
      <c r="E1" s="302"/>
      <c r="F1" s="302"/>
      <c r="G1" s="302"/>
    </row>
    <row r="2" spans="1:6" ht="18">
      <c r="A2" s="17"/>
      <c r="B2" s="18"/>
      <c r="C2" s="18"/>
      <c r="D2" s="18"/>
      <c r="E2" s="18"/>
      <c r="F2" s="18"/>
    </row>
    <row r="3" spans="1:7" ht="18">
      <c r="A3" s="302" t="s">
        <v>117</v>
      </c>
      <c r="B3" s="302"/>
      <c r="C3" s="302"/>
      <c r="D3" s="302"/>
      <c r="E3" s="302"/>
      <c r="F3" s="302"/>
      <c r="G3" s="302"/>
    </row>
    <row r="4" ht="15" thickBot="1"/>
    <row r="5" spans="2:7" ht="14.25">
      <c r="B5" s="113"/>
      <c r="C5" s="78" t="s">
        <v>0</v>
      </c>
      <c r="D5" s="78" t="s">
        <v>1</v>
      </c>
      <c r="E5" s="78" t="s">
        <v>2</v>
      </c>
      <c r="F5" s="78" t="s">
        <v>37</v>
      </c>
      <c r="G5" s="53" t="s">
        <v>63</v>
      </c>
    </row>
    <row r="6" spans="2:7" ht="14.25">
      <c r="B6" s="114"/>
      <c r="C6" s="3" t="s">
        <v>258</v>
      </c>
      <c r="D6" s="3" t="s">
        <v>260</v>
      </c>
      <c r="E6" s="3" t="s">
        <v>260</v>
      </c>
      <c r="F6" s="3" t="s">
        <v>260</v>
      </c>
      <c r="G6" s="56" t="s">
        <v>260</v>
      </c>
    </row>
    <row r="7" spans="2:7" ht="14.25">
      <c r="B7" s="114" t="s">
        <v>3</v>
      </c>
      <c r="C7" s="3" t="s">
        <v>259</v>
      </c>
      <c r="D7" s="3" t="s">
        <v>261</v>
      </c>
      <c r="E7" s="3" t="s">
        <v>261</v>
      </c>
      <c r="F7" s="3" t="s">
        <v>261</v>
      </c>
      <c r="G7" s="56" t="s">
        <v>261</v>
      </c>
    </row>
    <row r="8" spans="2:7" ht="14.25">
      <c r="B8" s="115"/>
      <c r="C8" s="47" t="s">
        <v>5</v>
      </c>
      <c r="D8" s="47" t="s">
        <v>5</v>
      </c>
      <c r="E8" s="47" t="s">
        <v>5</v>
      </c>
      <c r="F8" s="47" t="s">
        <v>5</v>
      </c>
      <c r="G8" s="58" t="s">
        <v>5</v>
      </c>
    </row>
    <row r="9" spans="2:7" ht="14.25">
      <c r="B9" s="114"/>
      <c r="C9" s="253"/>
      <c r="D9" s="19"/>
      <c r="E9" s="19"/>
      <c r="F9" s="19"/>
      <c r="G9" s="84"/>
    </row>
    <row r="10" spans="2:7" ht="25.5">
      <c r="B10" s="273" t="s">
        <v>255</v>
      </c>
      <c r="C10" s="10"/>
      <c r="D10" s="11"/>
      <c r="E10" s="11"/>
      <c r="F10" s="11"/>
      <c r="G10" s="63"/>
    </row>
    <row r="11" spans="2:7" ht="14.25">
      <c r="B11" s="69"/>
      <c r="C11" s="10"/>
      <c r="D11" s="11"/>
      <c r="E11" s="11"/>
      <c r="F11" s="11"/>
      <c r="G11" s="63"/>
    </row>
    <row r="12" spans="2:7" ht="14.25">
      <c r="B12" s="69" t="s">
        <v>190</v>
      </c>
      <c r="C12" s="10"/>
      <c r="D12" s="7"/>
      <c r="E12" s="7"/>
      <c r="F12" s="7"/>
      <c r="G12" s="60"/>
    </row>
    <row r="13" spans="2:7" ht="14.25">
      <c r="B13" s="106" t="s">
        <v>119</v>
      </c>
      <c r="C13" s="10">
        <f>94+150+150-113</f>
        <v>281</v>
      </c>
      <c r="D13" s="7">
        <v>0</v>
      </c>
      <c r="E13" s="7">
        <v>0</v>
      </c>
      <c r="F13" s="7">
        <v>0</v>
      </c>
      <c r="G13" s="60">
        <v>0</v>
      </c>
    </row>
    <row r="14" spans="2:7" ht="14.25">
      <c r="B14" s="94" t="s">
        <v>121</v>
      </c>
      <c r="C14" s="137">
        <f>400-168+43</f>
        <v>275</v>
      </c>
      <c r="D14" s="134">
        <v>0</v>
      </c>
      <c r="E14" s="134">
        <v>0</v>
      </c>
      <c r="F14" s="7">
        <v>0</v>
      </c>
      <c r="G14" s="60">
        <v>0</v>
      </c>
    </row>
    <row r="15" spans="2:7" ht="14.25">
      <c r="B15" s="94" t="s">
        <v>124</v>
      </c>
      <c r="C15" s="10">
        <v>10</v>
      </c>
      <c r="D15" s="7">
        <v>292</v>
      </c>
      <c r="E15" s="7">
        <v>0</v>
      </c>
      <c r="F15" s="7">
        <v>0</v>
      </c>
      <c r="G15" s="60">
        <v>0</v>
      </c>
    </row>
    <row r="16" spans="2:7" ht="14.25">
      <c r="B16" s="94" t="s">
        <v>125</v>
      </c>
      <c r="C16" s="10">
        <f>300-300</f>
        <v>0</v>
      </c>
      <c r="D16" s="7">
        <v>50</v>
      </c>
      <c r="E16" s="7">
        <v>0</v>
      </c>
      <c r="F16" s="7">
        <v>0</v>
      </c>
      <c r="G16" s="60">
        <v>0</v>
      </c>
    </row>
    <row r="17" spans="2:7" ht="14.25">
      <c r="B17" s="94" t="s">
        <v>126</v>
      </c>
      <c r="C17" s="10">
        <f>50+6</f>
        <v>56</v>
      </c>
      <c r="D17" s="7">
        <v>0</v>
      </c>
      <c r="E17" s="7">
        <v>0</v>
      </c>
      <c r="F17" s="7">
        <v>0</v>
      </c>
      <c r="G17" s="60">
        <v>0</v>
      </c>
    </row>
    <row r="18" spans="2:7" ht="14.25">
      <c r="B18" s="94" t="s">
        <v>129</v>
      </c>
      <c r="C18" s="10">
        <f>45-45</f>
        <v>0</v>
      </c>
      <c r="D18" s="7">
        <v>45</v>
      </c>
      <c r="E18" s="7">
        <v>0</v>
      </c>
      <c r="F18" s="7">
        <v>0</v>
      </c>
      <c r="G18" s="60">
        <v>0</v>
      </c>
    </row>
    <row r="19" spans="2:7" ht="14.25">
      <c r="B19" s="108" t="s">
        <v>132</v>
      </c>
      <c r="C19" s="10">
        <v>0</v>
      </c>
      <c r="D19" s="7">
        <v>125</v>
      </c>
      <c r="E19" s="7">
        <v>0</v>
      </c>
      <c r="F19" s="7">
        <v>0</v>
      </c>
      <c r="G19" s="60">
        <v>0</v>
      </c>
    </row>
    <row r="20" spans="2:7" ht="14.25">
      <c r="B20" s="108" t="s">
        <v>133</v>
      </c>
      <c r="C20" s="10">
        <v>0</v>
      </c>
      <c r="D20" s="7">
        <v>85</v>
      </c>
      <c r="E20" s="7">
        <v>0</v>
      </c>
      <c r="F20" s="7">
        <v>0</v>
      </c>
      <c r="G20" s="60">
        <v>0</v>
      </c>
    </row>
    <row r="21" spans="2:7" ht="14.25">
      <c r="B21" s="108" t="s">
        <v>134</v>
      </c>
      <c r="C21" s="10">
        <v>0</v>
      </c>
      <c r="D21" s="7">
        <v>35</v>
      </c>
      <c r="E21" s="7">
        <v>0</v>
      </c>
      <c r="F21" s="7">
        <v>0</v>
      </c>
      <c r="G21" s="60">
        <v>0</v>
      </c>
    </row>
    <row r="22" spans="2:7" ht="14.25">
      <c r="B22" s="108" t="s">
        <v>135</v>
      </c>
      <c r="C22" s="10">
        <v>0</v>
      </c>
      <c r="D22" s="7">
        <v>100</v>
      </c>
      <c r="E22" s="7">
        <v>225</v>
      </c>
      <c r="F22" s="7">
        <v>425</v>
      </c>
      <c r="G22" s="60">
        <v>0</v>
      </c>
    </row>
    <row r="23" spans="2:7" ht="14.25">
      <c r="B23" s="94" t="s">
        <v>197</v>
      </c>
      <c r="C23" s="10">
        <f>30+10</f>
        <v>40</v>
      </c>
      <c r="D23" s="7">
        <v>0</v>
      </c>
      <c r="E23" s="7">
        <v>0</v>
      </c>
      <c r="F23" s="7">
        <v>0</v>
      </c>
      <c r="G23" s="60">
        <v>0</v>
      </c>
    </row>
    <row r="24" spans="2:7" ht="14.25">
      <c r="B24" s="94" t="s">
        <v>122</v>
      </c>
      <c r="C24" s="10">
        <f>70+10</f>
        <v>80</v>
      </c>
      <c r="D24" s="7">
        <v>0</v>
      </c>
      <c r="E24" s="7">
        <v>0</v>
      </c>
      <c r="F24" s="7">
        <v>0</v>
      </c>
      <c r="G24" s="60">
        <v>0</v>
      </c>
    </row>
    <row r="25" spans="2:7" ht="14.25">
      <c r="B25" s="94" t="s">
        <v>123</v>
      </c>
      <c r="C25" s="10">
        <f>40-10</f>
        <v>30</v>
      </c>
      <c r="D25" s="7">
        <v>0</v>
      </c>
      <c r="E25" s="7">
        <v>0</v>
      </c>
      <c r="F25" s="7">
        <v>0</v>
      </c>
      <c r="G25" s="60">
        <v>0</v>
      </c>
    </row>
    <row r="26" spans="2:7" ht="14.25">
      <c r="B26" s="108" t="s">
        <v>136</v>
      </c>
      <c r="C26" s="10">
        <v>0</v>
      </c>
      <c r="D26" s="7">
        <v>150</v>
      </c>
      <c r="E26" s="7">
        <v>0</v>
      </c>
      <c r="F26" s="7">
        <v>0</v>
      </c>
      <c r="G26" s="60">
        <v>0</v>
      </c>
    </row>
    <row r="27" spans="2:7" ht="14.25">
      <c r="B27" s="100" t="s">
        <v>191</v>
      </c>
      <c r="C27" s="10"/>
      <c r="D27" s="7"/>
      <c r="E27" s="7"/>
      <c r="F27" s="7"/>
      <c r="G27" s="60"/>
    </row>
    <row r="28" spans="2:7" ht="14.25">
      <c r="B28" s="106" t="s">
        <v>118</v>
      </c>
      <c r="C28" s="10">
        <f>470+326+4</f>
        <v>800</v>
      </c>
      <c r="D28" s="7">
        <v>0</v>
      </c>
      <c r="E28" s="7">
        <v>0</v>
      </c>
      <c r="F28" s="7">
        <v>0</v>
      </c>
      <c r="G28" s="60">
        <v>0</v>
      </c>
    </row>
    <row r="29" spans="2:7" ht="14.25">
      <c r="B29" s="106" t="s">
        <v>98</v>
      </c>
      <c r="C29" s="10">
        <f>300+344+24+7</f>
        <v>675</v>
      </c>
      <c r="D29" s="7">
        <v>0</v>
      </c>
      <c r="E29" s="7">
        <v>100</v>
      </c>
      <c r="F29" s="7">
        <v>0</v>
      </c>
      <c r="G29" s="60">
        <v>100</v>
      </c>
    </row>
    <row r="30" spans="2:7" ht="14.25">
      <c r="B30" s="106" t="s">
        <v>120</v>
      </c>
      <c r="C30" s="10">
        <f>457+350+71</f>
        <v>878</v>
      </c>
      <c r="D30" s="7">
        <v>0</v>
      </c>
      <c r="E30" s="7">
        <v>0</v>
      </c>
      <c r="F30" s="7">
        <v>0</v>
      </c>
      <c r="G30" s="60">
        <v>0</v>
      </c>
    </row>
    <row r="31" spans="2:7" ht="14.25">
      <c r="B31" s="106" t="s">
        <v>131</v>
      </c>
      <c r="C31" s="10">
        <v>41</v>
      </c>
      <c r="D31" s="7">
        <v>0</v>
      </c>
      <c r="E31" s="7">
        <v>0</v>
      </c>
      <c r="F31" s="7">
        <v>0</v>
      </c>
      <c r="G31" s="60">
        <v>0</v>
      </c>
    </row>
    <row r="32" spans="2:7" ht="14.25">
      <c r="B32" s="91" t="s">
        <v>128</v>
      </c>
      <c r="C32" s="93">
        <v>400</v>
      </c>
      <c r="D32" s="95">
        <f>400-62</f>
        <v>338</v>
      </c>
      <c r="E32" s="95">
        <f>400</f>
        <v>400</v>
      </c>
      <c r="F32" s="7">
        <f>399+1</f>
        <v>400</v>
      </c>
      <c r="G32" s="60">
        <v>400</v>
      </c>
    </row>
    <row r="33" spans="2:7" ht="14.25">
      <c r="B33" s="106" t="s">
        <v>130</v>
      </c>
      <c r="C33" s="10">
        <f>424+81</f>
        <v>505</v>
      </c>
      <c r="D33" s="11">
        <v>40</v>
      </c>
      <c r="E33" s="7">
        <v>30</v>
      </c>
      <c r="F33" s="7">
        <v>0</v>
      </c>
      <c r="G33" s="60">
        <v>30</v>
      </c>
    </row>
    <row r="34" spans="2:7" ht="14.25">
      <c r="B34" s="89" t="s">
        <v>192</v>
      </c>
      <c r="C34" s="8">
        <f>SUM(C13:C33)</f>
        <v>4071</v>
      </c>
      <c r="D34" s="8">
        <f>SUM(D13:D33)</f>
        <v>1260</v>
      </c>
      <c r="E34" s="8">
        <f>SUM(E13:E33)</f>
        <v>755</v>
      </c>
      <c r="F34" s="8">
        <f>SUM(F13:F33)</f>
        <v>825</v>
      </c>
      <c r="G34" s="68">
        <f>SUM(G13:G33)</f>
        <v>530</v>
      </c>
    </row>
    <row r="35" spans="2:7" ht="14.25">
      <c r="B35" s="117"/>
      <c r="C35" s="258"/>
      <c r="D35" s="259"/>
      <c r="E35" s="259"/>
      <c r="F35" s="259"/>
      <c r="G35" s="260"/>
    </row>
    <row r="36" spans="2:7" ht="15.75" thickBot="1">
      <c r="B36" s="135" t="s">
        <v>127</v>
      </c>
      <c r="C36" s="222">
        <f>C34</f>
        <v>4071</v>
      </c>
      <c r="D36" s="222">
        <f>D34</f>
        <v>1260</v>
      </c>
      <c r="E36" s="222">
        <f>E34</f>
        <v>755</v>
      </c>
      <c r="F36" s="222">
        <f>F34</f>
        <v>825</v>
      </c>
      <c r="G36" s="136">
        <f>G34</f>
        <v>530</v>
      </c>
    </row>
  </sheetData>
  <mergeCells count="2">
    <mergeCell ref="A1:G1"/>
    <mergeCell ref="A3:G3"/>
  </mergeCells>
  <printOptions horizontalCentered="1" verticalCentered="1"/>
  <pageMargins left="0.7480314960629921" right="0.7480314960629921" top="0.5118110236220472" bottom="0.7480314960629921" header="0.5118110236220472" footer="0.5118110236220472"/>
  <pageSetup horizontalDpi="600" verticalDpi="600" orientation="landscape" paperSize="9" scale="95" r:id="rId1"/>
  <headerFooter alignWithMargins="0">
    <oddHeader>&amp;R&amp;"Arial,Bold"Annex E to Appendix H(ii)</oddHeader>
    <oddFooter>&amp;L&amp;F\&amp;A&amp;R177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Brent</dc:creator>
  <cp:keywords/>
  <dc:description/>
  <cp:lastModifiedBy>Zebunnissa Ali</cp:lastModifiedBy>
  <cp:lastPrinted>2005-02-17T17:16:55Z</cp:lastPrinted>
  <dcterms:created xsi:type="dcterms:W3CDTF">2003-06-30T16:20:07Z</dcterms:created>
  <dcterms:modified xsi:type="dcterms:W3CDTF">2005-02-18T09:30:04Z</dcterms:modified>
  <cp:category/>
  <cp:version/>
  <cp:contentType/>
  <cp:contentStatus/>
</cp:coreProperties>
</file>