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8"/>
  </bookViews>
  <sheets>
    <sheet name="Corporate" sheetId="1" r:id="rId1"/>
    <sheet name="EALObjective " sheetId="2" r:id="rId2"/>
    <sheet name="EALObjective  (2)" sheetId="3" r:id="rId3"/>
    <sheet name="EALObjective  (3)" sheetId="4" r:id="rId4"/>
    <sheet name="EALObjective  (4)" sheetId="5" r:id="rId5"/>
    <sheet name="EAL Objective  (5)" sheetId="6" r:id="rId6"/>
    <sheet name="Environment" sheetId="7" r:id="rId7"/>
    <sheet name="Housing" sheetId="8" r:id="rId8"/>
    <sheet name="Social Service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<sst xmlns="http://schemas.openxmlformats.org/spreadsheetml/2006/main" count="513" uniqueCount="241">
  <si>
    <t>BUDGET MATRIX - OBJECTIVE ANALYSIS</t>
  </si>
  <si>
    <t>YEAR1</t>
  </si>
  <si>
    <t>YEAR 2</t>
  </si>
  <si>
    <t>YEAR 3</t>
  </si>
  <si>
    <t>YEAR  4</t>
  </si>
  <si>
    <t>YEAR  5</t>
  </si>
  <si>
    <t>Division / Sub-division of Service</t>
  </si>
  <si>
    <t>2004/2005 Approved Budget          £’000                       (1)</t>
  </si>
  <si>
    <t>SCHOOLS BLOCK</t>
  </si>
  <si>
    <t xml:space="preserve">Devolved Funding </t>
  </si>
  <si>
    <t>Individual Schools Budget</t>
  </si>
  <si>
    <t>Unallocated ISB</t>
  </si>
  <si>
    <t>Grants Devolved to Schools</t>
  </si>
  <si>
    <t>Grant Income</t>
  </si>
  <si>
    <t>Education Out of School</t>
  </si>
  <si>
    <t>Schools Forum</t>
  </si>
  <si>
    <t>Provision for SEN Pupils</t>
  </si>
  <si>
    <t>Maternity etc cover</t>
  </si>
  <si>
    <t>Subscriptions</t>
  </si>
  <si>
    <t>Promoting good Practice re SEN</t>
  </si>
  <si>
    <t>Specialist Support</t>
  </si>
  <si>
    <t>Pupil Referral Units (PRUs)</t>
  </si>
  <si>
    <t>Total C/fwd</t>
  </si>
  <si>
    <t>Notes:</t>
  </si>
  <si>
    <t>Total B/fwd</t>
  </si>
  <si>
    <t>PRG Contingency</t>
  </si>
  <si>
    <t>Statutory Duty re Disabled Pupils</t>
  </si>
  <si>
    <t>Independent School Fees</t>
  </si>
  <si>
    <t>Free School Meals - Eligibility</t>
  </si>
  <si>
    <t>Inter Authority Recoupment Exp.</t>
  </si>
  <si>
    <t>Inter Authority Recoupment Inc.</t>
  </si>
  <si>
    <t>Admissions</t>
  </si>
  <si>
    <t>Nursery Grants - Expenditure</t>
  </si>
  <si>
    <t>Other Early Years</t>
  </si>
  <si>
    <t>City Academy</t>
  </si>
  <si>
    <t>Total B/Fwd</t>
  </si>
  <si>
    <t>Grants outside schools block</t>
  </si>
  <si>
    <t>TOTAL SCHOOLS BUDGET</t>
  </si>
  <si>
    <t>LEA BLOCK</t>
  </si>
  <si>
    <t>Strategic Management</t>
  </si>
  <si>
    <t>Statutory and Regulatory Duties</t>
  </si>
  <si>
    <t>PRC and Redundancy</t>
  </si>
  <si>
    <t>Early Years Administration</t>
  </si>
  <si>
    <t>Monitoring Nat. Curric. A'ment</t>
  </si>
  <si>
    <t>Specific Grants</t>
  </si>
  <si>
    <t>Non delegated school grants</t>
  </si>
  <si>
    <t>Grant income</t>
  </si>
  <si>
    <t>Facilitating Sch. Improvement</t>
  </si>
  <si>
    <t>Total C/Fwd</t>
  </si>
  <si>
    <t>Special Education</t>
  </si>
  <si>
    <t>Education Psychology Service</t>
  </si>
  <si>
    <t>Assessments and Statementing</t>
  </si>
  <si>
    <t>Behaviour Support Plans</t>
  </si>
  <si>
    <t>LEA Functions re Child Protect.</t>
  </si>
  <si>
    <t>Health Service Partnerships</t>
  </si>
  <si>
    <t>Access</t>
  </si>
  <si>
    <t>Welsh Harp EEC</t>
  </si>
  <si>
    <t>Asset management</t>
  </si>
  <si>
    <t>Place Planning</t>
  </si>
  <si>
    <t>Excluded Pupils</t>
  </si>
  <si>
    <t>Home to school Transport</t>
  </si>
  <si>
    <t>Education Welfare Service</t>
  </si>
  <si>
    <t>Music</t>
  </si>
  <si>
    <t>Other LEA Services</t>
  </si>
  <si>
    <t>Strategic Management Non Sch.</t>
  </si>
  <si>
    <t>Adult Education</t>
  </si>
  <si>
    <t>Support for students</t>
  </si>
  <si>
    <t>Mandatory Awards (Net)</t>
  </si>
  <si>
    <t>Voluntary Sector</t>
  </si>
  <si>
    <t xml:space="preserve">Youth Service </t>
  </si>
  <si>
    <t>Libraries, Culture &amp; Heritage</t>
  </si>
  <si>
    <t>Library Service</t>
  </si>
  <si>
    <t>Heritage Service</t>
  </si>
  <si>
    <t>Cultural Service</t>
  </si>
  <si>
    <t>TOTAL LEA AND OTHER</t>
  </si>
  <si>
    <t>SAVINGS TO BE FOUND</t>
  </si>
  <si>
    <t>NET LEA AND OTHER</t>
  </si>
  <si>
    <t xml:space="preserve">SERVICE AREA:  CORPORATE </t>
  </si>
  <si>
    <t>YEAR 1</t>
  </si>
  <si>
    <t>YEAR 4</t>
  </si>
  <si>
    <t>YEAR 5</t>
  </si>
  <si>
    <t>ITEM</t>
  </si>
  <si>
    <t>BRENT FINANCIAL SERVICES/HOUSING BENEFIT</t>
  </si>
  <si>
    <t>CHIEF EXECUTIVE</t>
  </si>
  <si>
    <t>COMMUNICATIONS &amp; CONSULTATION</t>
  </si>
  <si>
    <t>CORPORATE SUPPORT</t>
  </si>
  <si>
    <t>CORPORATE PROPERTY</t>
  </si>
  <si>
    <t>HUMAN RESOURCES</t>
  </si>
  <si>
    <t>DIVERSITY</t>
  </si>
  <si>
    <t>INFORMATION TECHNOLOGY UNIT</t>
  </si>
  <si>
    <t>LEGAL &amp; DEMOCRATIC SERVICES</t>
  </si>
  <si>
    <t>ONE STOP SHOP</t>
  </si>
  <si>
    <t>POLICY &amp; REGENERATION</t>
  </si>
  <si>
    <t>SRB SERVICES</t>
  </si>
  <si>
    <t>OTHER CORPORATE</t>
  </si>
  <si>
    <t>NEIGHBOURHOOD RENEWAL FUND</t>
  </si>
  <si>
    <t>TOTAL</t>
  </si>
  <si>
    <t>CASH LIMIT</t>
  </si>
  <si>
    <t>Approved</t>
  </si>
  <si>
    <t>Budget</t>
  </si>
  <si>
    <t xml:space="preserve"> </t>
  </si>
  <si>
    <t>Forecast</t>
  </si>
  <si>
    <t>2004-05</t>
  </si>
  <si>
    <t>Adjust</t>
  </si>
  <si>
    <t>Growth</t>
  </si>
  <si>
    <t>Savings</t>
  </si>
  <si>
    <t>Inflation</t>
  </si>
  <si>
    <t>2005-06</t>
  </si>
  <si>
    <t>2006-07</t>
  </si>
  <si>
    <t>2007-08</t>
  </si>
  <si>
    <t>2008-09</t>
  </si>
  <si>
    <t>£'000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</si>
  <si>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</si>
  <si>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</si>
  <si>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</si>
  <si>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</si>
  <si>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</si>
  <si>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</si>
  <si>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</si>
  <si>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</si>
  <si>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</si>
  <si>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</si>
  <si>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</si>
  <si>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</si>
  <si>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</si>
  <si>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</si>
  <si>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</si>
  <si>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</si>
  <si>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</si>
  <si>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</si>
  <si>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Public Sector</t>
  </si>
  <si>
    <t xml:space="preserve">             </t>
  </si>
  <si>
    <t>Travellers site SLA</t>
  </si>
  <si>
    <t>Travellers site client</t>
  </si>
  <si>
    <t xml:space="preserve">Housing Resources Centre </t>
  </si>
  <si>
    <t>Temporary Accommodation</t>
  </si>
  <si>
    <t>Recharges to HRA</t>
  </si>
  <si>
    <t>Housing Client Budgets</t>
  </si>
  <si>
    <t>Sub Total</t>
  </si>
  <si>
    <t>Private Sector</t>
  </si>
  <si>
    <t>Private Housing Services</t>
  </si>
  <si>
    <t>Private Housing Info Unit</t>
  </si>
  <si>
    <t>Housing Advice</t>
  </si>
  <si>
    <t>B &amp; B Inspections</t>
  </si>
  <si>
    <t>IT</t>
  </si>
  <si>
    <t>Pay</t>
  </si>
  <si>
    <t>Legal Fees</t>
  </si>
  <si>
    <t>Other</t>
  </si>
  <si>
    <t>Bed &amp; Breakfast HB Deficit</t>
  </si>
  <si>
    <t>Advice Centres</t>
  </si>
  <si>
    <t xml:space="preserve">Supporting People Team </t>
  </si>
  <si>
    <t>South Kilburn Regeneration</t>
  </si>
  <si>
    <t>Brent Energy Network</t>
  </si>
  <si>
    <t>Policy and Development Unit</t>
  </si>
  <si>
    <t>2004/2005</t>
  </si>
  <si>
    <t>BUILDING CONTROL</t>
  </si>
  <si>
    <t>CEMETERIES AND MORTUARY</t>
  </si>
  <si>
    <t>DIRECTORATE</t>
  </si>
  <si>
    <t>ENVIRONMENTAL HEALTH</t>
  </si>
  <si>
    <t>HEALTH, SAFETY &amp; LICENSING</t>
  </si>
  <si>
    <t>PARKS</t>
  </si>
  <si>
    <t>PLANNING SERVICE</t>
  </si>
  <si>
    <t>REGISTRARS BDM</t>
  </si>
  <si>
    <t>SPORTS</t>
  </si>
  <si>
    <t>STREETCARE</t>
  </si>
  <si>
    <t>TRADING STANDARDS</t>
  </si>
  <si>
    <t>TRANSPORTATION</t>
  </si>
  <si>
    <t>PARKING</t>
  </si>
  <si>
    <t>SERVICE NAME: ENVIRONMENTAL SERVICES</t>
  </si>
  <si>
    <t xml:space="preserve">SERVICE AREA: HOUSING GENERAL FUND </t>
  </si>
  <si>
    <t>£000</t>
  </si>
  <si>
    <t>Children &amp; Families</t>
  </si>
  <si>
    <t>Older People</t>
  </si>
  <si>
    <t>Learning Disabilities</t>
  </si>
  <si>
    <t>Physical Disabilities</t>
  </si>
  <si>
    <t>Mental Health</t>
  </si>
  <si>
    <t>Support Services</t>
  </si>
  <si>
    <t>Youth Offending Teams</t>
  </si>
  <si>
    <t>Internal adjustments have yet to be completed; i.e. Finance to Core Services; zero basing of LD services etc - no affect to cash limit.</t>
  </si>
  <si>
    <t>Allocation of grants over services have been undertaken on a notional basis. This may change but no effect to the cash limit.</t>
  </si>
  <si>
    <t>No allowance has been made for the funding approved for Brent Care at Home Pension negotiations.</t>
  </si>
  <si>
    <t>Pension adjustments have all been coded to Support Services prior to allocation across services.</t>
  </si>
  <si>
    <t>Approved Budget    (1)</t>
  </si>
  <si>
    <t xml:space="preserve"> Adjust                          £’000    (2)            </t>
  </si>
  <si>
    <t xml:space="preserve">                         Agreed Growth                          £’000               (3)</t>
  </si>
  <si>
    <t xml:space="preserve">                        Committed and New   Savings     £’000                (4)</t>
  </si>
  <si>
    <t xml:space="preserve">                         Inflation                                  £’000                (5)</t>
  </si>
  <si>
    <t>2005/2006        Budget      Forecast     £’000                  (6)</t>
  </si>
  <si>
    <t xml:space="preserve">                        Committed and New   Savings     £’000                (8)</t>
  </si>
  <si>
    <t xml:space="preserve">                         Inflation                                  £’000                (9)</t>
  </si>
  <si>
    <t>2006/2007              Budget               Forecast             £’000               (10)</t>
  </si>
  <si>
    <t xml:space="preserve">                        Committed and New   Savings     £’000                (12)</t>
  </si>
  <si>
    <t xml:space="preserve">                         Inflation                                  £’000                (13)</t>
  </si>
  <si>
    <t>2007/2008              Budget               Forecast             £’000               (14)</t>
  </si>
  <si>
    <t xml:space="preserve">                        Committed and New   Savings     £’000                (16)</t>
  </si>
  <si>
    <t xml:space="preserve">                         Inflation                                  £’000                (17)</t>
  </si>
  <si>
    <t>2008/2009              Budget               Forecast             £’000               (18)</t>
  </si>
  <si>
    <t xml:space="preserve">                         Adjust                          £’000               (2)</t>
  </si>
  <si>
    <t xml:space="preserve">                         Adjust                          £’000               (7)</t>
  </si>
  <si>
    <t xml:space="preserve">                         Adjust                          £’000               (11)</t>
  </si>
  <si>
    <t xml:space="preserve">                         Adjust                          £’000               (15)</t>
  </si>
  <si>
    <t xml:space="preserve"> Agreed Growth                          £’000    (3)            </t>
  </si>
  <si>
    <t>Savings £’000   (4)</t>
  </si>
  <si>
    <t xml:space="preserve">Inflation   £’000  (5) </t>
  </si>
  <si>
    <t>Savings £’000     (8)</t>
  </si>
  <si>
    <t>2006/7  Budget  Forecast  £’000      (10)</t>
  </si>
  <si>
    <t xml:space="preserve">Savings £’000   (12) </t>
  </si>
  <si>
    <t>Inflation   £’000   (13)</t>
  </si>
  <si>
    <t>Savings £’000   (16)</t>
  </si>
  <si>
    <t>Inflation   £’000    (17)</t>
  </si>
  <si>
    <t xml:space="preserve"> Adjust                          £’000   (7)            </t>
  </si>
  <si>
    <t xml:space="preserve"> Adjust                          £’000    (11)            </t>
  </si>
  <si>
    <t xml:space="preserve"> Adjust                          £’000   (15)           </t>
  </si>
  <si>
    <t xml:space="preserve">£'000   </t>
  </si>
  <si>
    <t>Inflation   £’000      (9)</t>
  </si>
  <si>
    <t>2005/6  Budget  Forecast  £’000      (6)</t>
  </si>
  <si>
    <t>2007/8 Budget Forecast  £’000      (14)</t>
  </si>
  <si>
    <t>2008/9 Budget  Forecast  £’000       (18)</t>
  </si>
  <si>
    <t>Adjust   £'000         (2)</t>
  </si>
  <si>
    <t xml:space="preserve">SERVICE AREA: SOCIAL SERVICES </t>
  </si>
  <si>
    <t xml:space="preserve">                         Growth                          £’000               (3)</t>
  </si>
  <si>
    <t xml:space="preserve">                           Savings     £’000                (4)</t>
  </si>
  <si>
    <t xml:space="preserve">                         Inflation                   Allowance               £’000                (5)</t>
  </si>
  <si>
    <t>2005/2006        Budget      Approved     £’000                  (6)</t>
  </si>
  <si>
    <t xml:space="preserve">                        Committed   Savings     £’000                (8)</t>
  </si>
  <si>
    <t xml:space="preserve">                          Inflation                   Allowance               £’000                (9)</t>
  </si>
  <si>
    <t xml:space="preserve">                        Committed   Savings     £’000                (12)</t>
  </si>
  <si>
    <t xml:space="preserve">                          Inflation                   Allowance               £’000                (13)</t>
  </si>
  <si>
    <t xml:space="preserve">                        Committed   Savings     £’000                (16)</t>
  </si>
  <si>
    <t xml:space="preserve">                          Inflation                   Allowance               £’000                (17)</t>
  </si>
  <si>
    <t>2008/2009             Budget               Forecast             £’000               (18)</t>
  </si>
  <si>
    <t xml:space="preserve">                         Adjust              £’000               (7)</t>
  </si>
  <si>
    <t xml:space="preserve">                         Adjust              £’000               (11)</t>
  </si>
  <si>
    <t xml:space="preserve">                         Adjust               £’000               (15)</t>
  </si>
  <si>
    <t>SERVICE NAME: SCHOOLS BUDGET</t>
  </si>
  <si>
    <t>SERVICE NAME: EDUCATION ARTS AND LIBRARIES (NON-SCHOOLS)</t>
  </si>
  <si>
    <t>TOTAL ENVIRONMENT</t>
  </si>
  <si>
    <t>NET ENVIRONMENT</t>
  </si>
  <si>
    <t>Savings to be found</t>
  </si>
  <si>
    <t>TOTAL SOCIAL SERVICES</t>
  </si>
  <si>
    <t>NET SOCIAL SERVICES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</si>
</sst>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#,###;\ \(#,###\)"/>
    <numFmt numFmtId="166" formatCode="_(* #,##0.00_);_(* \(#,##0.00\);_(* &quot;-&quot;_);_(@_)"/>
    <numFmt numFmtId="167" formatCode="#,##0;[Red]\(#,##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;\(#,##0\)"/>
    <numFmt numFmtId="179" formatCode="_-* #,##0_-;\-* #,##0_-;_-* &quot;-&quot;??_-;_-@_-"/>
    <numFmt numFmtId="180" formatCode="_-* #,##0.0000_-;\-* #,##0.0000_-;_-* &quot;-&quot;????_-;_-@_-"/>
    <numFmt numFmtId="181" formatCode="0000"/>
    <numFmt numFmtId="182" formatCode="[$€-2]\ #,##0.00_);[Red]\([$€-2]\ #,##0.00\)"/>
    <numFmt numFmtId="183" formatCode="#,###;\-#,###;0"/>
    <numFmt numFmtId="184" formatCode="#,###;\(#,###\);0"/>
    <numFmt numFmtId="185" formatCode="0.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0" fillId="0" borderId="1" xfId="0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164" fontId="3" fillId="0" borderId="4" xfId="0" applyNumberFormat="1" applyFont="1" applyBorder="1" applyAlignment="1">
      <alignment horizontal="centerContinuous" vertical="center" wrapText="1"/>
    </xf>
    <xf numFmtId="0" fontId="0" fillId="0" borderId="5" xfId="0" applyBorder="1" applyAlignment="1">
      <alignment wrapText="1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6" xfId="0" applyNumberFormat="1" applyFon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1" fontId="0" fillId="0" borderId="8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4" xfId="0" applyBorder="1" applyAlignment="1">
      <alignment/>
    </xf>
    <xf numFmtId="0" fontId="5" fillId="0" borderId="11" xfId="0" applyFont="1" applyBorder="1" applyAlignment="1">
      <alignment wrapText="1"/>
    </xf>
    <xf numFmtId="1" fontId="0" fillId="0" borderId="6" xfId="0" applyNumberFormat="1" applyBorder="1" applyAlignment="1">
      <alignment wrapText="1"/>
    </xf>
    <xf numFmtId="1" fontId="0" fillId="0" borderId="12" xfId="0" applyNumberFormat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1" fontId="5" fillId="0" borderId="6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4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" fontId="0" fillId="0" borderId="4" xfId="0" applyNumberFormat="1" applyBorder="1" applyAlignment="1">
      <alignment wrapText="1"/>
    </xf>
    <xf numFmtId="0" fontId="5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" fontId="5" fillId="0" borderId="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6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167" fontId="0" fillId="0" borderId="6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5" fillId="0" borderId="11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center"/>
    </xf>
    <xf numFmtId="166" fontId="5" fillId="0" borderId="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1" xfId="0" applyNumberFormat="1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164" fontId="8" fillId="0" borderId="7" xfId="0" applyNumberFormat="1" applyFont="1" applyBorder="1" applyAlignment="1">
      <alignment/>
    </xf>
    <xf numFmtId="164" fontId="8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64" fontId="5" fillId="0" borderId="7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horizontal="center" wrapText="1"/>
    </xf>
    <xf numFmtId="16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5" fillId="0" borderId="12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wrapText="1"/>
    </xf>
    <xf numFmtId="164" fontId="5" fillId="0" borderId="12" xfId="0" applyNumberFormat="1" applyFont="1" applyBorder="1" applyAlignment="1" quotePrefix="1">
      <alignment horizontal="center" vertical="center" wrapText="1"/>
    </xf>
    <xf numFmtId="164" fontId="0" fillId="0" borderId="8" xfId="0" applyNumberFormat="1" applyBorder="1" applyAlignment="1">
      <alignment/>
    </xf>
    <xf numFmtId="164" fontId="0" fillId="0" borderId="1" xfId="0" applyNumberFormat="1" applyBorder="1" applyAlignment="1">
      <alignment/>
    </xf>
    <xf numFmtId="166" fontId="3" fillId="0" borderId="9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66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164" fontId="5" fillId="0" borderId="20" xfId="0" applyNumberFormat="1" applyFont="1" applyBorder="1" applyAlignment="1" quotePrefix="1">
      <alignment horizontal="center" vertical="center" wrapText="1"/>
    </xf>
    <xf numFmtId="164" fontId="5" fillId="0" borderId="17" xfId="0" applyNumberFormat="1" applyFont="1" applyBorder="1" applyAlignment="1">
      <alignment/>
    </xf>
    <xf numFmtId="164" fontId="0" fillId="0" borderId="16" xfId="0" applyNumberForma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 quotePrefix="1">
      <alignment horizontal="center" wrapText="1"/>
    </xf>
    <xf numFmtId="164" fontId="5" fillId="0" borderId="19" xfId="0" applyNumberFormat="1" applyFont="1" applyBorder="1" applyAlignment="1" quotePrefix="1">
      <alignment horizontal="center" vertical="center" wrapText="1"/>
    </xf>
    <xf numFmtId="164" fontId="5" fillId="0" borderId="18" xfId="0" applyNumberFormat="1" applyFont="1" applyBorder="1" applyAlignment="1">
      <alignment/>
    </xf>
    <xf numFmtId="164" fontId="3" fillId="0" borderId="2" xfId="0" applyNumberFormat="1" applyFont="1" applyBorder="1" applyAlignment="1">
      <alignment vertical="center" wrapText="1"/>
    </xf>
    <xf numFmtId="1" fontId="5" fillId="0" borderId="0" xfId="0" applyNumberFormat="1" applyFont="1" applyAlignment="1">
      <alignment/>
    </xf>
    <xf numFmtId="1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181" fontId="6" fillId="0" borderId="0" xfId="0" applyNumberFormat="1" applyFont="1" applyFill="1" applyBorder="1" applyAlignment="1" applyProtection="1" quotePrefix="1">
      <alignment horizontal="left" vertical="center"/>
      <protection/>
    </xf>
    <xf numFmtId="181" fontId="6" fillId="0" borderId="0" xfId="0" applyNumberFormat="1" applyFont="1" applyFill="1" applyBorder="1" applyAlignment="1" applyProtection="1">
      <alignment horizontal="left" vertical="center"/>
      <protection/>
    </xf>
    <xf numFmtId="181" fontId="13" fillId="0" borderId="0" xfId="0" applyNumberFormat="1" applyFont="1" applyFill="1" applyBorder="1" applyAlignment="1" applyProtection="1">
      <alignment horizontal="left" vertical="center"/>
      <protection/>
    </xf>
    <xf numFmtId="181" fontId="0" fillId="0" borderId="6" xfId="0" applyNumberFormat="1" applyFont="1" applyFill="1" applyBorder="1" applyAlignment="1" applyProtection="1" quotePrefix="1">
      <alignment horizontal="left" vertical="center"/>
      <protection/>
    </xf>
    <xf numFmtId="181" fontId="0" fillId="0" borderId="6" xfId="0" applyNumberFormat="1" applyFont="1" applyFill="1" applyBorder="1" applyAlignment="1" applyProtection="1">
      <alignment horizontal="left" vertical="center"/>
      <protection/>
    </xf>
    <xf numFmtId="181" fontId="0" fillId="0" borderId="6" xfId="0" applyNumberFormat="1" applyFont="1" applyFill="1" applyBorder="1" applyAlignment="1" applyProtection="1" quotePrefix="1">
      <alignment horizontal="left"/>
      <protection/>
    </xf>
    <xf numFmtId="3" fontId="5" fillId="0" borderId="6" xfId="0" applyNumberFormat="1" applyFont="1" applyFill="1" applyBorder="1" applyAlignment="1" applyProtection="1" quotePrefix="1">
      <alignment horizontal="center" wrapText="1"/>
      <protection/>
    </xf>
    <xf numFmtId="3" fontId="5" fillId="0" borderId="21" xfId="0" applyNumberFormat="1" applyFont="1" applyFill="1" applyBorder="1" applyAlignment="1" applyProtection="1" quotePrefix="1">
      <alignment horizontal="center" wrapText="1"/>
      <protection/>
    </xf>
    <xf numFmtId="3" fontId="5" fillId="0" borderId="4" xfId="0" applyNumberFormat="1" applyFont="1" applyFill="1" applyBorder="1" applyAlignment="1" applyProtection="1" quotePrefix="1">
      <alignment horizontal="center" wrapText="1"/>
      <protection/>
    </xf>
    <xf numFmtId="0" fontId="0" fillId="0" borderId="0" xfId="0" applyFont="1" applyAlignment="1">
      <alignment/>
    </xf>
    <xf numFmtId="3" fontId="5" fillId="0" borderId="5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9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Continuous" vertical="center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" fontId="3" fillId="0" borderId="0" xfId="0" applyNumberFormat="1" applyFont="1" applyAlignment="1">
      <alignment/>
    </xf>
    <xf numFmtId="184" fontId="0" fillId="0" borderId="6" xfId="0" applyNumberFormat="1" applyBorder="1" applyAlignment="1">
      <alignment/>
    </xf>
    <xf numFmtId="184" fontId="0" fillId="0" borderId="8" xfId="0" applyNumberFormat="1" applyBorder="1" applyAlignment="1">
      <alignment/>
    </xf>
    <xf numFmtId="184" fontId="0" fillId="0" borderId="4" xfId="0" applyNumberFormat="1" applyBorder="1" applyAlignment="1">
      <alignment/>
    </xf>
    <xf numFmtId="184" fontId="0" fillId="0" borderId="9" xfId="0" applyNumberFormat="1" applyBorder="1" applyAlignment="1">
      <alignment/>
    </xf>
    <xf numFmtId="184" fontId="0" fillId="0" borderId="6" xfId="0" applyNumberFormat="1" applyBorder="1" applyAlignment="1">
      <alignment horizontal="right"/>
    </xf>
    <xf numFmtId="184" fontId="5" fillId="0" borderId="6" xfId="0" applyNumberFormat="1" applyFont="1" applyBorder="1" applyAlignment="1">
      <alignment/>
    </xf>
    <xf numFmtId="184" fontId="5" fillId="0" borderId="8" xfId="0" applyNumberFormat="1" applyFont="1" applyBorder="1" applyAlignment="1">
      <alignment/>
    </xf>
    <xf numFmtId="184" fontId="5" fillId="0" borderId="6" xfId="0" applyNumberFormat="1" applyFont="1" applyBorder="1" applyAlignment="1">
      <alignment wrapText="1"/>
    </xf>
    <xf numFmtId="184" fontId="0" fillId="0" borderId="6" xfId="0" applyNumberFormat="1" applyFont="1" applyBorder="1" applyAlignment="1">
      <alignment/>
    </xf>
    <xf numFmtId="184" fontId="0" fillId="0" borderId="0" xfId="0" applyNumberFormat="1" applyFont="1" applyAlignment="1">
      <alignment/>
    </xf>
    <xf numFmtId="184" fontId="0" fillId="0" borderId="4" xfId="0" applyNumberFormat="1" applyFont="1" applyBorder="1" applyAlignment="1">
      <alignment/>
    </xf>
    <xf numFmtId="184" fontId="5" fillId="0" borderId="4" xfId="0" applyNumberFormat="1" applyFont="1" applyBorder="1" applyAlignment="1">
      <alignment/>
    </xf>
    <xf numFmtId="184" fontId="5" fillId="0" borderId="7" xfId="0" applyNumberFormat="1" applyFont="1" applyBorder="1" applyAlignment="1">
      <alignment/>
    </xf>
    <xf numFmtId="184" fontId="0" fillId="0" borderId="17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0" xfId="0" applyNumberFormat="1" applyFont="1" applyBorder="1" applyAlignment="1">
      <alignment/>
    </xf>
    <xf numFmtId="184" fontId="0" fillId="0" borderId="8" xfId="0" applyNumberFormat="1" applyFont="1" applyBorder="1" applyAlignment="1">
      <alignment/>
    </xf>
    <xf numFmtId="184" fontId="0" fillId="0" borderId="19" xfId="0" applyNumberFormat="1" applyFont="1" applyBorder="1" applyAlignment="1">
      <alignment/>
    </xf>
    <xf numFmtId="184" fontId="0" fillId="0" borderId="12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0" fillId="0" borderId="13" xfId="0" applyNumberFormat="1" applyFont="1" applyBorder="1" applyAlignment="1">
      <alignment/>
    </xf>
    <xf numFmtId="184" fontId="5" fillId="0" borderId="10" xfId="0" applyNumberFormat="1" applyFont="1" applyBorder="1" applyAlignment="1">
      <alignment/>
    </xf>
    <xf numFmtId="184" fontId="5" fillId="0" borderId="17" xfId="0" applyNumberFormat="1" applyFont="1" applyBorder="1" applyAlignment="1">
      <alignment/>
    </xf>
    <xf numFmtId="184" fontId="9" fillId="0" borderId="17" xfId="0" applyNumberFormat="1" applyFont="1" applyBorder="1" applyAlignment="1">
      <alignment/>
    </xf>
    <xf numFmtId="184" fontId="10" fillId="0" borderId="8" xfId="0" applyNumberFormat="1" applyFont="1" applyBorder="1" applyAlignment="1">
      <alignment/>
    </xf>
    <xf numFmtId="184" fontId="9" fillId="0" borderId="8" xfId="0" applyNumberFormat="1" applyFont="1" applyBorder="1" applyAlignment="1">
      <alignment/>
    </xf>
    <xf numFmtId="184" fontId="9" fillId="0" borderId="8" xfId="0" applyNumberFormat="1" applyFont="1" applyBorder="1" applyAlignment="1">
      <alignment/>
    </xf>
    <xf numFmtId="184" fontId="9" fillId="0" borderId="10" xfId="0" applyNumberFormat="1" applyFont="1" applyBorder="1" applyAlignment="1">
      <alignment/>
    </xf>
    <xf numFmtId="184" fontId="11" fillId="0" borderId="8" xfId="0" applyNumberFormat="1" applyFont="1" applyBorder="1" applyAlignment="1">
      <alignment/>
    </xf>
    <xf numFmtId="184" fontId="0" fillId="0" borderId="8" xfId="0" applyNumberFormat="1" applyBorder="1" applyAlignment="1">
      <alignment horizontal="right"/>
    </xf>
    <xf numFmtId="184" fontId="5" fillId="0" borderId="7" xfId="0" applyNumberFormat="1" applyFont="1" applyBorder="1" applyAlignment="1">
      <alignment wrapText="1"/>
    </xf>
    <xf numFmtId="184" fontId="5" fillId="0" borderId="8" xfId="0" applyNumberFormat="1" applyFont="1" applyBorder="1" applyAlignment="1">
      <alignment wrapText="1"/>
    </xf>
    <xf numFmtId="184" fontId="5" fillId="0" borderId="18" xfId="0" applyNumberFormat="1" applyFont="1" applyBorder="1" applyAlignment="1">
      <alignment wrapText="1"/>
    </xf>
    <xf numFmtId="184" fontId="5" fillId="0" borderId="10" xfId="0" applyNumberFormat="1" applyFont="1" applyBorder="1" applyAlignment="1">
      <alignment wrapText="1"/>
    </xf>
    <xf numFmtId="184" fontId="5" fillId="0" borderId="17" xfId="0" applyNumberFormat="1" applyFont="1" applyBorder="1" applyAlignment="1">
      <alignment wrapText="1"/>
    </xf>
    <xf numFmtId="184" fontId="9" fillId="0" borderId="17" xfId="0" applyNumberFormat="1" applyFont="1" applyBorder="1" applyAlignment="1">
      <alignment wrapText="1"/>
    </xf>
    <xf numFmtId="184" fontId="10" fillId="0" borderId="8" xfId="0" applyNumberFormat="1" applyFont="1" applyBorder="1" applyAlignment="1">
      <alignment wrapText="1"/>
    </xf>
    <xf numFmtId="184" fontId="9" fillId="0" borderId="8" xfId="0" applyNumberFormat="1" applyFont="1" applyBorder="1" applyAlignment="1">
      <alignment wrapText="1"/>
    </xf>
    <xf numFmtId="184" fontId="9" fillId="0" borderId="8" xfId="0" applyNumberFormat="1" applyFont="1" applyBorder="1" applyAlignment="1">
      <alignment wrapText="1"/>
    </xf>
    <xf numFmtId="184" fontId="9" fillId="0" borderId="10" xfId="0" applyNumberFormat="1" applyFont="1" applyBorder="1" applyAlignment="1">
      <alignment wrapText="1"/>
    </xf>
    <xf numFmtId="184" fontId="0" fillId="0" borderId="17" xfId="0" applyNumberFormat="1" applyFont="1" applyBorder="1" applyAlignment="1">
      <alignment wrapText="1"/>
    </xf>
    <xf numFmtId="184" fontId="0" fillId="0" borderId="8" xfId="0" applyNumberFormat="1" applyFont="1" applyBorder="1" applyAlignment="1">
      <alignment wrapText="1"/>
    </xf>
    <xf numFmtId="184" fontId="0" fillId="0" borderId="8" xfId="0" applyNumberFormat="1" applyFont="1" applyBorder="1" applyAlignment="1">
      <alignment wrapText="1"/>
    </xf>
    <xf numFmtId="184" fontId="5" fillId="0" borderId="9" xfId="0" applyNumberFormat="1" applyFont="1" applyBorder="1" applyAlignment="1">
      <alignment wrapText="1"/>
    </xf>
    <xf numFmtId="184" fontId="5" fillId="0" borderId="21" xfId="0" applyNumberFormat="1" applyFont="1" applyBorder="1" applyAlignment="1">
      <alignment wrapText="1"/>
    </xf>
    <xf numFmtId="184" fontId="5" fillId="0" borderId="4" xfId="0" applyNumberFormat="1" applyFont="1" applyBorder="1" applyAlignment="1">
      <alignment wrapText="1"/>
    </xf>
    <xf numFmtId="184" fontId="5" fillId="0" borderId="22" xfId="0" applyNumberFormat="1" applyFont="1" applyBorder="1" applyAlignment="1">
      <alignment wrapText="1"/>
    </xf>
    <xf numFmtId="184" fontId="0" fillId="0" borderId="21" xfId="0" applyNumberFormat="1" applyFont="1" applyBorder="1" applyAlignment="1">
      <alignment/>
    </xf>
    <xf numFmtId="184" fontId="5" fillId="0" borderId="9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5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6" xfId="0" applyBorder="1" applyAlignment="1">
      <alignment wrapText="1"/>
    </xf>
    <xf numFmtId="0" fontId="0" fillId="0" borderId="0" xfId="0" applyFont="1" applyBorder="1" applyAlignment="1">
      <alignment/>
    </xf>
    <xf numFmtId="3" fontId="5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81" fontId="5" fillId="0" borderId="6" xfId="0" applyNumberFormat="1" applyFont="1" applyFill="1" applyBorder="1" applyAlignment="1" applyProtection="1">
      <alignment horizontal="left" vertical="center"/>
      <protection/>
    </xf>
    <xf numFmtId="164" fontId="5" fillId="0" borderId="13" xfId="0" applyNumberFormat="1" applyFont="1" applyBorder="1" applyAlignment="1" quotePrefix="1">
      <alignment horizontal="center" vertical="center" wrapText="1"/>
    </xf>
    <xf numFmtId="184" fontId="0" fillId="0" borderId="8" xfId="0" applyNumberFormat="1" applyFont="1" applyFill="1" applyBorder="1" applyAlignment="1">
      <alignment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 wrapText="1"/>
    </xf>
    <xf numFmtId="184" fontId="0" fillId="0" borderId="21" xfId="0" applyNumberFormat="1" applyFont="1" applyBorder="1" applyAlignment="1">
      <alignment wrapText="1"/>
    </xf>
    <xf numFmtId="3" fontId="5" fillId="0" borderId="21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Continuous" vertical="center" wrapText="1"/>
    </xf>
    <xf numFmtId="184" fontId="0" fillId="0" borderId="21" xfId="0" applyNumberFormat="1" applyFont="1" applyFill="1" applyBorder="1" applyAlignment="1">
      <alignment/>
    </xf>
    <xf numFmtId="184" fontId="0" fillId="0" borderId="7" xfId="0" applyNumberFormat="1" applyFont="1" applyBorder="1" applyAlignment="1">
      <alignment/>
    </xf>
    <xf numFmtId="184" fontId="0" fillId="0" borderId="11" xfId="0" applyNumberFormat="1" applyFont="1" applyBorder="1" applyAlignment="1">
      <alignment/>
    </xf>
    <xf numFmtId="184" fontId="14" fillId="0" borderId="7" xfId="0" applyNumberFormat="1" applyFont="1" applyBorder="1" applyAlignment="1">
      <alignment/>
    </xf>
    <xf numFmtId="184" fontId="0" fillId="0" borderId="7" xfId="0" applyNumberFormat="1" applyFont="1" applyBorder="1" applyAlignment="1">
      <alignment wrapText="1"/>
    </xf>
    <xf numFmtId="184" fontId="14" fillId="0" borderId="7" xfId="0" applyNumberFormat="1" applyFont="1" applyBorder="1" applyAlignment="1">
      <alignment wrapText="1"/>
    </xf>
    <xf numFmtId="166" fontId="0" fillId="0" borderId="0" xfId="0" applyNumberFormat="1" applyFont="1" applyAlignment="1">
      <alignment/>
    </xf>
    <xf numFmtId="184" fontId="0" fillId="0" borderId="18" xfId="0" applyNumberFormat="1" applyFont="1" applyBorder="1" applyAlignment="1">
      <alignment/>
    </xf>
    <xf numFmtId="184" fontId="0" fillId="0" borderId="20" xfId="0" applyNumberFormat="1" applyFont="1" applyBorder="1" applyAlignment="1">
      <alignment/>
    </xf>
    <xf numFmtId="184" fontId="14" fillId="0" borderId="18" xfId="0" applyNumberFormat="1" applyFont="1" applyBorder="1" applyAlignment="1">
      <alignment/>
    </xf>
    <xf numFmtId="184" fontId="14" fillId="0" borderId="18" xfId="0" applyNumberFormat="1" applyFont="1" applyBorder="1" applyAlignment="1">
      <alignment wrapText="1"/>
    </xf>
    <xf numFmtId="184" fontId="0" fillId="0" borderId="12" xfId="0" applyNumberFormat="1" applyFont="1" applyBorder="1" applyAlignment="1">
      <alignment/>
    </xf>
    <xf numFmtId="184" fontId="14" fillId="0" borderId="8" xfId="0" applyNumberFormat="1" applyFont="1" applyBorder="1" applyAlignment="1">
      <alignment/>
    </xf>
    <xf numFmtId="184" fontId="14" fillId="0" borderId="8" xfId="0" applyNumberFormat="1" applyFont="1" applyBorder="1" applyAlignment="1">
      <alignment wrapText="1"/>
    </xf>
    <xf numFmtId="184" fontId="5" fillId="0" borderId="15" xfId="0" applyNumberFormat="1" applyFont="1" applyBorder="1" applyAlignment="1">
      <alignment/>
    </xf>
    <xf numFmtId="166" fontId="3" fillId="0" borderId="21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166" fontId="5" fillId="0" borderId="20" xfId="0" applyNumberFormat="1" applyFont="1" applyBorder="1" applyAlignment="1" quotePrefix="1">
      <alignment horizontal="center" vertical="center" wrapText="1"/>
    </xf>
    <xf numFmtId="0" fontId="5" fillId="0" borderId="20" xfId="0" applyFont="1" applyBorder="1" applyAlignment="1" quotePrefix="1">
      <alignment horizontal="center" wrapText="1"/>
    </xf>
    <xf numFmtId="1" fontId="0" fillId="0" borderId="6" xfId="0" applyNumberFormat="1" applyBorder="1" applyAlignment="1">
      <alignment horizontal="right"/>
    </xf>
    <xf numFmtId="0" fontId="5" fillId="0" borderId="8" xfId="0" applyFont="1" applyBorder="1" applyAlignment="1">
      <alignment horizontal="right" vertical="center" wrapText="1"/>
    </xf>
    <xf numFmtId="0" fontId="0" fillId="0" borderId="6" xfId="0" applyFont="1" applyBorder="1" applyAlignment="1">
      <alignment horizontal="right" wrapText="1"/>
    </xf>
    <xf numFmtId="1" fontId="0" fillId="0" borderId="8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12" xfId="0" applyNumberForma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1" fontId="5" fillId="0" borderId="6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 wrapText="1"/>
    </xf>
    <xf numFmtId="164" fontId="4" fillId="0" borderId="0" xfId="0" applyNumberFormat="1" applyFont="1" applyAlignment="1">
      <alignment horizont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 wrapText="1"/>
    </xf>
    <xf numFmtId="1" fontId="0" fillId="0" borderId="13" xfId="0" applyNumberFormat="1" applyFont="1" applyBorder="1" applyAlignment="1">
      <alignment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6" fontId="3" fillId="0" borderId="23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42862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4286250" y="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39090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4805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37185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371850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3381375" y="0"/>
          <a:ext cx="904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2981325" y="0"/>
          <a:ext cx="695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BASE BUDGET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Plann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Environmental%20Healt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Transportat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Spo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Pa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Building%20Contr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StreetCare%20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Health%20Safety%20&amp;%20Licens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Trading%20Standard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Directorate%20budg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Park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RBD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udget%20Matricies\Cemet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2038</v>
          </cell>
          <cell r="D20">
            <v>0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2959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1528</v>
          </cell>
          <cell r="D20">
            <v>10</v>
          </cell>
          <cell r="E20">
            <v>-219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 (1)"/>
      <sheetName val="Subjective (2)"/>
      <sheetName val="Subjective (3)"/>
      <sheetName val="objective"/>
      <sheetName val="Growth"/>
      <sheetName val="Savings"/>
    </sheetNames>
    <sheetDataSet>
      <sheetData sheetId="2">
        <row r="17">
          <cell r="B17">
            <v>2595</v>
          </cell>
          <cell r="D17">
            <v>0</v>
          </cell>
          <cell r="E17">
            <v>0</v>
          </cell>
          <cell r="O17">
            <v>0</v>
          </cell>
          <cell r="T17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0</v>
          </cell>
          <cell r="D20">
            <v>0</v>
          </cell>
          <cell r="E20">
            <v>-199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359</v>
          </cell>
          <cell r="D20">
            <v>0</v>
          </cell>
          <cell r="E20">
            <v>-44</v>
          </cell>
          <cell r="J20">
            <v>0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Savings"/>
      <sheetName val="Growth"/>
    </sheetNames>
    <sheetDataSet>
      <sheetData sheetId="3">
        <row r="22">
          <cell r="B22">
            <v>16723</v>
          </cell>
          <cell r="D22">
            <v>1934</v>
          </cell>
          <cell r="O22">
            <v>0</v>
          </cell>
          <cell r="T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550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997</v>
          </cell>
          <cell r="D20">
            <v>0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992</v>
          </cell>
          <cell r="D20">
            <v>0</v>
          </cell>
          <cell r="E20">
            <v>-71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2858</v>
          </cell>
          <cell r="D20">
            <v>0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329</v>
          </cell>
          <cell r="D20">
            <v>0</v>
          </cell>
          <cell r="E20">
            <v>-16</v>
          </cell>
          <cell r="O20">
            <v>0</v>
          </cell>
          <cell r="T20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bjective"/>
      <sheetName val="Subjective (2)"/>
      <sheetName val="Subjective (3)"/>
      <sheetName val="Subjective (4)"/>
      <sheetName val="Objective"/>
      <sheetName val="Growth"/>
      <sheetName val="Savings"/>
    </sheetNames>
    <sheetDataSet>
      <sheetData sheetId="3">
        <row r="20">
          <cell r="B20">
            <v>347</v>
          </cell>
          <cell r="D20">
            <v>0</v>
          </cell>
          <cell r="E20">
            <v>-20</v>
          </cell>
          <cell r="O20">
            <v>0</v>
          </cell>
          <cell r="T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 topLeftCell="A1">
      <selection activeCell="A2" sqref="A2:W2"/>
    </sheetView>
  </sheetViews>
  <sheetFormatPr defaultColWidth="9.140625" defaultRowHeight="12.75"/>
  <cols>
    <col min="1" max="1" width="44.421875" style="0" customWidth="1"/>
    <col min="2" max="2" width="10.00390625" style="2" bestFit="1" customWidth="1"/>
    <col min="3" max="3" width="0.2890625" style="0" customWidth="1"/>
    <col min="4" max="4" width="9.57421875" style="0" customWidth="1"/>
    <col min="6" max="6" width="10.7109375" style="0" bestFit="1" customWidth="1"/>
    <col min="7" max="7" width="8.140625" style="2" customWidth="1"/>
    <col min="8" max="8" width="10.28125" style="2" customWidth="1"/>
    <col min="9" max="9" width="0.2890625" style="0" customWidth="1"/>
    <col min="10" max="10" width="7.8515625" style="2" customWidth="1"/>
    <col min="11" max="11" width="10.7109375" style="2" bestFit="1" customWidth="1"/>
    <col min="12" max="12" width="8.421875" style="2" customWidth="1"/>
    <col min="13" max="13" width="10.00390625" style="2" customWidth="1"/>
    <col min="14" max="14" width="0.2890625" style="2" customWidth="1"/>
    <col min="15" max="15" width="8.140625" style="0" customWidth="1"/>
    <col min="16" max="16" width="10.7109375" style="0" bestFit="1" customWidth="1"/>
    <col min="17" max="17" width="8.140625" style="0" customWidth="1"/>
    <col min="18" max="18" width="10.57421875" style="0" customWidth="1"/>
    <col min="19" max="19" width="0.2890625" style="0" customWidth="1"/>
    <col min="21" max="21" width="10.7109375" style="0" bestFit="1" customWidth="1"/>
    <col min="22" max="22" width="9.8515625" style="0" customWidth="1"/>
    <col min="23" max="23" width="10.00390625" style="0" customWidth="1"/>
  </cols>
  <sheetData>
    <row r="1" spans="1:22" ht="15.75">
      <c r="A1" s="1" t="s">
        <v>77</v>
      </c>
      <c r="V1" s="1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78</v>
      </c>
      <c r="C4" s="6"/>
      <c r="D4" s="253" t="s">
        <v>2</v>
      </c>
      <c r="E4" s="254"/>
      <c r="F4" s="254"/>
      <c r="G4" s="254"/>
      <c r="H4" s="255"/>
      <c r="I4" s="9"/>
      <c r="J4" s="250" t="s">
        <v>3</v>
      </c>
      <c r="K4" s="251"/>
      <c r="L4" s="251"/>
      <c r="M4" s="252"/>
      <c r="N4" s="10"/>
      <c r="O4" s="250" t="s">
        <v>79</v>
      </c>
      <c r="P4" s="251"/>
      <c r="Q4" s="251"/>
      <c r="R4" s="252"/>
      <c r="S4" s="10"/>
      <c r="T4" s="7" t="s">
        <v>80</v>
      </c>
      <c r="U4" s="7"/>
      <c r="V4" s="7"/>
      <c r="W4" s="8"/>
    </row>
    <row r="5" spans="1:23" s="66" customFormat="1" ht="78" customHeight="1">
      <c r="A5" s="13" t="s">
        <v>81</v>
      </c>
      <c r="B5" s="60" t="s">
        <v>7</v>
      </c>
      <c r="C5" s="61"/>
      <c r="D5" s="62" t="s">
        <v>197</v>
      </c>
      <c r="E5" s="62" t="s">
        <v>184</v>
      </c>
      <c r="F5" s="62" t="s">
        <v>185</v>
      </c>
      <c r="G5" s="62" t="s">
        <v>186</v>
      </c>
      <c r="H5" s="60" t="s">
        <v>187</v>
      </c>
      <c r="I5" s="63"/>
      <c r="J5" s="62" t="s">
        <v>198</v>
      </c>
      <c r="K5" s="62" t="s">
        <v>188</v>
      </c>
      <c r="L5" s="62" t="s">
        <v>189</v>
      </c>
      <c r="M5" s="64" t="s">
        <v>190</v>
      </c>
      <c r="N5" s="65"/>
      <c r="O5" s="62" t="s">
        <v>199</v>
      </c>
      <c r="P5" s="62" t="s">
        <v>191</v>
      </c>
      <c r="Q5" s="62" t="s">
        <v>192</v>
      </c>
      <c r="R5" s="60" t="s">
        <v>193</v>
      </c>
      <c r="S5" s="65"/>
      <c r="T5" s="62" t="s">
        <v>200</v>
      </c>
      <c r="U5" s="62" t="s">
        <v>194</v>
      </c>
      <c r="V5" s="62" t="s">
        <v>195</v>
      </c>
      <c r="W5" s="60" t="s">
        <v>196</v>
      </c>
    </row>
    <row r="6" spans="1:23" ht="24.75" customHeight="1">
      <c r="A6" s="67" t="s">
        <v>82</v>
      </c>
      <c r="B6" s="150">
        <f>2993-19+4824-661</f>
        <v>7137</v>
      </c>
      <c r="C6" s="151"/>
      <c r="D6" s="150">
        <v>64</v>
      </c>
      <c r="E6" s="150">
        <f>250+150</f>
        <v>400</v>
      </c>
      <c r="F6" s="150">
        <f>-70-115-75</f>
        <v>-260</v>
      </c>
      <c r="G6" s="150">
        <f>115-15+31+196-64</f>
        <v>263</v>
      </c>
      <c r="H6" s="150">
        <f aca="true" t="shared" si="0" ref="H6:H19">SUM(B6:G6)</f>
        <v>7604</v>
      </c>
      <c r="I6" s="151"/>
      <c r="J6" s="152">
        <v>68</v>
      </c>
      <c r="K6" s="150">
        <v>-211</v>
      </c>
      <c r="L6" s="150">
        <f>115-16+33+213-68</f>
        <v>277</v>
      </c>
      <c r="M6" s="153">
        <f aca="true" t="shared" si="1" ref="M6:M19">SUM(H6:L6)</f>
        <v>7738</v>
      </c>
      <c r="N6" s="151"/>
      <c r="O6" s="152">
        <v>72</v>
      </c>
      <c r="P6" s="150">
        <v>0</v>
      </c>
      <c r="Q6" s="150">
        <f>120-15+35+221-72</f>
        <v>289</v>
      </c>
      <c r="R6" s="150">
        <f aca="true" t="shared" si="2" ref="R6:R19">SUM(M6:Q6)</f>
        <v>8099</v>
      </c>
      <c r="S6" s="151"/>
      <c r="T6" s="152">
        <v>76</v>
      </c>
      <c r="U6" s="150">
        <v>-177</v>
      </c>
      <c r="V6" s="150">
        <f>109+37+136+16-76</f>
        <v>222</v>
      </c>
      <c r="W6" s="150">
        <f aca="true" t="shared" si="3" ref="W6:W19">SUM(R6:V6)</f>
        <v>8220</v>
      </c>
    </row>
    <row r="7" spans="1:23" ht="24.75" customHeight="1">
      <c r="A7" s="67" t="s">
        <v>83</v>
      </c>
      <c r="B7" s="150">
        <f>703-2</f>
        <v>701</v>
      </c>
      <c r="C7" s="151"/>
      <c r="D7" s="150">
        <v>3</v>
      </c>
      <c r="E7" s="150">
        <v>0</v>
      </c>
      <c r="F7" s="150">
        <v>0</v>
      </c>
      <c r="G7" s="150">
        <f>17-2</f>
        <v>15</v>
      </c>
      <c r="H7" s="150">
        <f t="shared" si="0"/>
        <v>719</v>
      </c>
      <c r="I7" s="151"/>
      <c r="J7" s="152">
        <v>3</v>
      </c>
      <c r="K7" s="150">
        <v>0</v>
      </c>
      <c r="L7" s="150">
        <f>13-2</f>
        <v>11</v>
      </c>
      <c r="M7" s="153">
        <f t="shared" si="1"/>
        <v>733</v>
      </c>
      <c r="N7" s="151"/>
      <c r="O7" s="152">
        <v>4</v>
      </c>
      <c r="P7" s="150">
        <v>0</v>
      </c>
      <c r="Q7" s="150">
        <f>11-2</f>
        <v>9</v>
      </c>
      <c r="R7" s="150">
        <f t="shared" si="2"/>
        <v>746</v>
      </c>
      <c r="S7" s="151"/>
      <c r="T7" s="152">
        <v>4</v>
      </c>
      <c r="U7" s="150">
        <v>0</v>
      </c>
      <c r="V7" s="150">
        <f>18</f>
        <v>18</v>
      </c>
      <c r="W7" s="150">
        <f t="shared" si="3"/>
        <v>768</v>
      </c>
    </row>
    <row r="8" spans="1:23" ht="24.75" customHeight="1">
      <c r="A8" s="67" t="s">
        <v>84</v>
      </c>
      <c r="B8" s="150">
        <f>1852+30-6</f>
        <v>1876</v>
      </c>
      <c r="C8" s="151"/>
      <c r="D8" s="150">
        <v>10</v>
      </c>
      <c r="E8" s="150">
        <f>45+70</f>
        <v>115</v>
      </c>
      <c r="F8" s="150">
        <f>-24-13-20</f>
        <v>-57</v>
      </c>
      <c r="G8" s="150">
        <f>61-12</f>
        <v>49</v>
      </c>
      <c r="H8" s="150">
        <f t="shared" si="0"/>
        <v>1993</v>
      </c>
      <c r="I8" s="151"/>
      <c r="J8" s="152">
        <v>10</v>
      </c>
      <c r="K8" s="150">
        <f>-30-7-10-10</f>
        <v>-57</v>
      </c>
      <c r="L8" s="150">
        <f>52-10</f>
        <v>42</v>
      </c>
      <c r="M8" s="153">
        <f t="shared" si="1"/>
        <v>1988</v>
      </c>
      <c r="N8" s="151"/>
      <c r="O8" s="152">
        <v>11</v>
      </c>
      <c r="P8" s="150">
        <v>0</v>
      </c>
      <c r="Q8" s="150">
        <f>53-11</f>
        <v>42</v>
      </c>
      <c r="R8" s="150">
        <f t="shared" si="2"/>
        <v>2041</v>
      </c>
      <c r="S8" s="151"/>
      <c r="T8" s="152">
        <v>12</v>
      </c>
      <c r="U8" s="150">
        <v>0</v>
      </c>
      <c r="V8" s="150">
        <f>43</f>
        <v>43</v>
      </c>
      <c r="W8" s="150">
        <f t="shared" si="3"/>
        <v>2096</v>
      </c>
    </row>
    <row r="9" spans="1:23" ht="24.75" customHeight="1">
      <c r="A9" s="67" t="s">
        <v>85</v>
      </c>
      <c r="B9" s="150">
        <f>449-6-4</f>
        <v>439</v>
      </c>
      <c r="C9" s="151"/>
      <c r="D9" s="150">
        <v>16</v>
      </c>
      <c r="E9" s="150">
        <v>0</v>
      </c>
      <c r="F9" s="150">
        <f>-90-25+56-15</f>
        <v>-74</v>
      </c>
      <c r="G9" s="150">
        <f>16-5-2</f>
        <v>9</v>
      </c>
      <c r="H9" s="150">
        <f t="shared" si="0"/>
        <v>390</v>
      </c>
      <c r="I9" s="151"/>
      <c r="J9" s="152">
        <v>17</v>
      </c>
      <c r="K9" s="150">
        <f>-100+15-8</f>
        <v>-93</v>
      </c>
      <c r="L9" s="150">
        <f>18-5-3</f>
        <v>10</v>
      </c>
      <c r="M9" s="153">
        <f t="shared" si="1"/>
        <v>324</v>
      </c>
      <c r="N9" s="151"/>
      <c r="O9" s="152">
        <v>18</v>
      </c>
      <c r="P9" s="150">
        <v>0</v>
      </c>
      <c r="Q9" s="150">
        <f>18-5-3</f>
        <v>10</v>
      </c>
      <c r="R9" s="150">
        <f t="shared" si="2"/>
        <v>352</v>
      </c>
      <c r="S9" s="151"/>
      <c r="T9" s="152">
        <v>19</v>
      </c>
      <c r="U9" s="150">
        <v>0</v>
      </c>
      <c r="V9" s="150">
        <f>11</f>
        <v>11</v>
      </c>
      <c r="W9" s="150">
        <f t="shared" si="3"/>
        <v>382</v>
      </c>
    </row>
    <row r="10" spans="1:23" ht="24.75" customHeight="1">
      <c r="A10" s="67" t="s">
        <v>86</v>
      </c>
      <c r="B10" s="150">
        <f>-188-3</f>
        <v>-191</v>
      </c>
      <c r="C10" s="151"/>
      <c r="D10" s="150">
        <v>5</v>
      </c>
      <c r="E10" s="150">
        <f>-25+293+25+36-12-36+40</f>
        <v>321</v>
      </c>
      <c r="F10" s="150">
        <f>-100-25+25-36+36</f>
        <v>-100</v>
      </c>
      <c r="G10" s="150">
        <f>12-15-2</f>
        <v>-5</v>
      </c>
      <c r="H10" s="150">
        <f t="shared" si="0"/>
        <v>30</v>
      </c>
      <c r="I10" s="151"/>
      <c r="J10" s="152">
        <v>5</v>
      </c>
      <c r="K10" s="150">
        <v>-100</v>
      </c>
      <c r="L10" s="150">
        <f>12-1-3</f>
        <v>8</v>
      </c>
      <c r="M10" s="153">
        <f t="shared" si="1"/>
        <v>-57</v>
      </c>
      <c r="N10" s="151"/>
      <c r="O10" s="152">
        <v>5</v>
      </c>
      <c r="P10" s="150">
        <v>0</v>
      </c>
      <c r="Q10" s="150">
        <f>12-1-2</f>
        <v>9</v>
      </c>
      <c r="R10" s="150">
        <f t="shared" si="2"/>
        <v>-43</v>
      </c>
      <c r="S10" s="151"/>
      <c r="T10" s="152">
        <v>6</v>
      </c>
      <c r="U10" s="150">
        <v>0</v>
      </c>
      <c r="V10" s="150">
        <f>-5</f>
        <v>-5</v>
      </c>
      <c r="W10" s="150">
        <f t="shared" si="3"/>
        <v>-42</v>
      </c>
    </row>
    <row r="11" spans="1:23" ht="24.75" customHeight="1">
      <c r="A11" s="67" t="s">
        <v>87</v>
      </c>
      <c r="B11" s="150">
        <f>1721+64-30+45-10+70</f>
        <v>1860</v>
      </c>
      <c r="C11" s="151"/>
      <c r="D11" s="150">
        <f>16-64-70</f>
        <v>-118</v>
      </c>
      <c r="E11" s="150">
        <v>13</v>
      </c>
      <c r="F11" s="150">
        <f>-64-14-5-4-5-70+64+70</f>
        <v>-28</v>
      </c>
      <c r="G11" s="150">
        <f>50-8</f>
        <v>42</v>
      </c>
      <c r="H11" s="150">
        <f t="shared" si="0"/>
        <v>1769</v>
      </c>
      <c r="I11" s="151"/>
      <c r="J11" s="152">
        <v>17</v>
      </c>
      <c r="K11" s="150">
        <f>-36-5-14-21</f>
        <v>-76</v>
      </c>
      <c r="L11" s="150">
        <f>54-8</f>
        <v>46</v>
      </c>
      <c r="M11" s="153">
        <f t="shared" si="1"/>
        <v>1756</v>
      </c>
      <c r="N11" s="151"/>
      <c r="O11" s="152">
        <v>18</v>
      </c>
      <c r="P11" s="150">
        <v>0</v>
      </c>
      <c r="Q11" s="150">
        <f>54-8</f>
        <v>46</v>
      </c>
      <c r="R11" s="150">
        <f t="shared" si="2"/>
        <v>1820</v>
      </c>
      <c r="S11" s="151"/>
      <c r="T11" s="152">
        <v>19</v>
      </c>
      <c r="U11" s="150">
        <v>0</v>
      </c>
      <c r="V11" s="150">
        <f>51</f>
        <v>51</v>
      </c>
      <c r="W11" s="150">
        <f t="shared" si="3"/>
        <v>1890</v>
      </c>
    </row>
    <row r="12" spans="1:23" ht="24.75" customHeight="1">
      <c r="A12" s="67" t="s">
        <v>88</v>
      </c>
      <c r="B12" s="150">
        <f>415-1</f>
        <v>414</v>
      </c>
      <c r="C12" s="151"/>
      <c r="D12" s="150">
        <v>2</v>
      </c>
      <c r="E12" s="150">
        <v>0</v>
      </c>
      <c r="F12" s="150">
        <v>-12</v>
      </c>
      <c r="G12" s="150">
        <f>11-1</f>
        <v>10</v>
      </c>
      <c r="H12" s="150">
        <f t="shared" si="0"/>
        <v>414</v>
      </c>
      <c r="I12" s="151"/>
      <c r="J12" s="152">
        <v>2</v>
      </c>
      <c r="K12" s="150">
        <v>0</v>
      </c>
      <c r="L12" s="150">
        <f>11-1</f>
        <v>10</v>
      </c>
      <c r="M12" s="153">
        <f t="shared" si="1"/>
        <v>426</v>
      </c>
      <c r="N12" s="151"/>
      <c r="O12" s="152">
        <v>2</v>
      </c>
      <c r="P12" s="150">
        <v>0</v>
      </c>
      <c r="Q12" s="150">
        <f>11-1</f>
        <v>10</v>
      </c>
      <c r="R12" s="150">
        <f t="shared" si="2"/>
        <v>438</v>
      </c>
      <c r="S12" s="151"/>
      <c r="T12" s="152">
        <v>2</v>
      </c>
      <c r="U12" s="150">
        <v>0</v>
      </c>
      <c r="V12" s="150">
        <f>13</f>
        <v>13</v>
      </c>
      <c r="W12" s="150">
        <f t="shared" si="3"/>
        <v>453</v>
      </c>
    </row>
    <row r="13" spans="1:23" ht="24.75" customHeight="1">
      <c r="A13" s="67" t="s">
        <v>89</v>
      </c>
      <c r="B13" s="150">
        <f>1306-19</f>
        <v>1287</v>
      </c>
      <c r="C13" s="151"/>
      <c r="D13" s="150">
        <v>31</v>
      </c>
      <c r="E13" s="150">
        <f>95+90-45-10</f>
        <v>130</v>
      </c>
      <c r="F13" s="150">
        <f>-10-33-40-45-19+45+10</f>
        <v>-92</v>
      </c>
      <c r="G13" s="154">
        <f>57-15</f>
        <v>42</v>
      </c>
      <c r="H13" s="150">
        <f t="shared" si="0"/>
        <v>1398</v>
      </c>
      <c r="I13" s="151"/>
      <c r="J13" s="152">
        <v>33</v>
      </c>
      <c r="K13" s="150">
        <f>-42-40-45-80</f>
        <v>-207</v>
      </c>
      <c r="L13" s="154">
        <f>60-16</f>
        <v>44</v>
      </c>
      <c r="M13" s="153">
        <f t="shared" si="1"/>
        <v>1268</v>
      </c>
      <c r="N13" s="151"/>
      <c r="O13" s="152">
        <v>35</v>
      </c>
      <c r="P13" s="150">
        <v>0</v>
      </c>
      <c r="Q13" s="154">
        <f>61-15</f>
        <v>46</v>
      </c>
      <c r="R13" s="150">
        <f t="shared" si="2"/>
        <v>1349</v>
      </c>
      <c r="S13" s="151"/>
      <c r="T13" s="152">
        <v>37</v>
      </c>
      <c r="U13" s="150">
        <v>0</v>
      </c>
      <c r="V13" s="154">
        <f>48</f>
        <v>48</v>
      </c>
      <c r="W13" s="150">
        <f t="shared" si="3"/>
        <v>1434</v>
      </c>
    </row>
    <row r="14" spans="1:23" ht="24.75" customHeight="1">
      <c r="A14" s="67" t="s">
        <v>90</v>
      </c>
      <c r="B14" s="150">
        <f>1515-18</f>
        <v>1497</v>
      </c>
      <c r="C14" s="151"/>
      <c r="D14" s="150">
        <v>29</v>
      </c>
      <c r="E14" s="150">
        <v>0</v>
      </c>
      <c r="F14" s="150">
        <f>-10-7-11-10-37</f>
        <v>-75</v>
      </c>
      <c r="G14" s="154">
        <f>49-14</f>
        <v>35</v>
      </c>
      <c r="H14" s="150">
        <f t="shared" si="0"/>
        <v>1486</v>
      </c>
      <c r="I14" s="151"/>
      <c r="J14" s="152">
        <v>31</v>
      </c>
      <c r="K14" s="150">
        <f>-43-70</f>
        <v>-113</v>
      </c>
      <c r="L14" s="154">
        <f>43-15</f>
        <v>28</v>
      </c>
      <c r="M14" s="153">
        <f t="shared" si="1"/>
        <v>1432</v>
      </c>
      <c r="N14" s="151"/>
      <c r="O14" s="152">
        <v>33</v>
      </c>
      <c r="P14" s="150">
        <v>0</v>
      </c>
      <c r="Q14" s="154">
        <f>43-14</f>
        <v>29</v>
      </c>
      <c r="R14" s="150">
        <f t="shared" si="2"/>
        <v>1494</v>
      </c>
      <c r="S14" s="151"/>
      <c r="T14" s="152">
        <v>35</v>
      </c>
      <c r="U14" s="150">
        <v>0</v>
      </c>
      <c r="V14" s="154">
        <f>30</f>
        <v>30</v>
      </c>
      <c r="W14" s="150">
        <f t="shared" si="3"/>
        <v>1559</v>
      </c>
    </row>
    <row r="15" spans="1:23" ht="24.75" customHeight="1">
      <c r="A15" s="67" t="s">
        <v>91</v>
      </c>
      <c r="B15" s="150">
        <f>3865-23</f>
        <v>3842</v>
      </c>
      <c r="C15" s="151"/>
      <c r="D15" s="150">
        <v>38</v>
      </c>
      <c r="E15" s="150">
        <f>48</f>
        <v>48</v>
      </c>
      <c r="F15" s="150">
        <f>-27-20-20+20</f>
        <v>-47</v>
      </c>
      <c r="G15" s="154">
        <f>145-18</f>
        <v>127</v>
      </c>
      <c r="H15" s="150">
        <f t="shared" si="0"/>
        <v>4008</v>
      </c>
      <c r="I15" s="151"/>
      <c r="J15" s="152">
        <v>40</v>
      </c>
      <c r="K15" s="150">
        <v>-28</v>
      </c>
      <c r="L15" s="154">
        <f>149-19</f>
        <v>130</v>
      </c>
      <c r="M15" s="153">
        <f t="shared" si="1"/>
        <v>4150</v>
      </c>
      <c r="N15" s="151"/>
      <c r="O15" s="152">
        <v>42</v>
      </c>
      <c r="P15" s="150">
        <v>0</v>
      </c>
      <c r="Q15" s="154">
        <f>155-19</f>
        <v>136</v>
      </c>
      <c r="R15" s="150">
        <f t="shared" si="2"/>
        <v>4328</v>
      </c>
      <c r="S15" s="151"/>
      <c r="T15" s="152">
        <v>45</v>
      </c>
      <c r="U15" s="150">
        <v>0</v>
      </c>
      <c r="V15" s="154">
        <f>140</f>
        <v>140</v>
      </c>
      <c r="W15" s="150">
        <f t="shared" si="3"/>
        <v>4513</v>
      </c>
    </row>
    <row r="16" spans="1:23" ht="24.75" customHeight="1">
      <c r="A16" s="67" t="s">
        <v>92</v>
      </c>
      <c r="B16" s="150">
        <f>2538+166-45-14+30+200</f>
        <v>2875</v>
      </c>
      <c r="C16" s="151"/>
      <c r="D16" s="150">
        <f>23-366</f>
        <v>-343</v>
      </c>
      <c r="E16" s="150">
        <v>0</v>
      </c>
      <c r="F16" s="150">
        <f>-166-5-15-20-5-10-200+366</f>
        <v>-55</v>
      </c>
      <c r="G16" s="150">
        <f>81-11</f>
        <v>70</v>
      </c>
      <c r="H16" s="150">
        <f t="shared" si="0"/>
        <v>2547</v>
      </c>
      <c r="I16" s="151"/>
      <c r="J16" s="152">
        <v>24</v>
      </c>
      <c r="K16" s="150">
        <f>-5+15-20-15-6-8-15</f>
        <v>-54</v>
      </c>
      <c r="L16" s="150">
        <f>85-12</f>
        <v>73</v>
      </c>
      <c r="M16" s="153">
        <f t="shared" si="1"/>
        <v>2590</v>
      </c>
      <c r="N16" s="151"/>
      <c r="O16" s="152">
        <v>26</v>
      </c>
      <c r="P16" s="150">
        <v>0</v>
      </c>
      <c r="Q16" s="150">
        <f>87-12</f>
        <v>75</v>
      </c>
      <c r="R16" s="150">
        <f t="shared" si="2"/>
        <v>2691</v>
      </c>
      <c r="S16" s="151"/>
      <c r="T16" s="152">
        <v>27</v>
      </c>
      <c r="U16" s="150">
        <v>0</v>
      </c>
      <c r="V16" s="150">
        <f>74</f>
        <v>74</v>
      </c>
      <c r="W16" s="150">
        <f t="shared" si="3"/>
        <v>2792</v>
      </c>
    </row>
    <row r="17" spans="1:23" ht="24.75" customHeight="1">
      <c r="A17" s="67" t="s">
        <v>93</v>
      </c>
      <c r="B17" s="150">
        <f>264-1</f>
        <v>263</v>
      </c>
      <c r="C17" s="151"/>
      <c r="D17" s="150">
        <v>2</v>
      </c>
      <c r="E17" s="150">
        <v>0</v>
      </c>
      <c r="F17" s="150">
        <v>-5</v>
      </c>
      <c r="G17" s="150">
        <f>6-1</f>
        <v>5</v>
      </c>
      <c r="H17" s="150">
        <f t="shared" si="0"/>
        <v>265</v>
      </c>
      <c r="I17" s="151"/>
      <c r="J17" s="152">
        <v>2</v>
      </c>
      <c r="K17" s="150">
        <v>-5</v>
      </c>
      <c r="L17" s="150">
        <f>6-1</f>
        <v>5</v>
      </c>
      <c r="M17" s="153">
        <f t="shared" si="1"/>
        <v>267</v>
      </c>
      <c r="N17" s="151"/>
      <c r="O17" s="152">
        <v>2</v>
      </c>
      <c r="P17" s="150">
        <v>0</v>
      </c>
      <c r="Q17" s="150">
        <f>7-1</f>
        <v>6</v>
      </c>
      <c r="R17" s="150">
        <f t="shared" si="2"/>
        <v>275</v>
      </c>
      <c r="S17" s="151"/>
      <c r="T17" s="152">
        <v>2</v>
      </c>
      <c r="U17" s="150">
        <v>0</v>
      </c>
      <c r="V17" s="150">
        <f>4</f>
        <v>4</v>
      </c>
      <c r="W17" s="150">
        <f t="shared" si="3"/>
        <v>281</v>
      </c>
    </row>
    <row r="18" spans="1:23" ht="24.75" customHeight="1">
      <c r="A18" s="67" t="s">
        <v>94</v>
      </c>
      <c r="B18" s="150">
        <f>-74+150</f>
        <v>76</v>
      </c>
      <c r="C18" s="151"/>
      <c r="D18" s="150">
        <v>0</v>
      </c>
      <c r="E18" s="150">
        <v>0</v>
      </c>
      <c r="F18" s="150">
        <v>-25</v>
      </c>
      <c r="G18" s="150">
        <v>4</v>
      </c>
      <c r="H18" s="150">
        <f t="shared" si="0"/>
        <v>55</v>
      </c>
      <c r="I18" s="151"/>
      <c r="J18" s="152">
        <v>0</v>
      </c>
      <c r="K18" s="150">
        <v>0</v>
      </c>
      <c r="L18" s="150">
        <v>4</v>
      </c>
      <c r="M18" s="153">
        <f t="shared" si="1"/>
        <v>59</v>
      </c>
      <c r="N18" s="151"/>
      <c r="O18" s="152">
        <v>0</v>
      </c>
      <c r="P18" s="150">
        <v>0</v>
      </c>
      <c r="Q18" s="150">
        <v>4</v>
      </c>
      <c r="R18" s="150">
        <f t="shared" si="2"/>
        <v>63</v>
      </c>
      <c r="S18" s="151"/>
      <c r="T18" s="152">
        <v>0</v>
      </c>
      <c r="U18" s="150">
        <v>0</v>
      </c>
      <c r="V18" s="150">
        <v>4</v>
      </c>
      <c r="W18" s="150">
        <f t="shared" si="3"/>
        <v>67</v>
      </c>
    </row>
    <row r="19" spans="1:23" ht="24.75" customHeight="1">
      <c r="A19" s="68" t="s">
        <v>95</v>
      </c>
      <c r="B19" s="150">
        <f>2300-21</f>
        <v>2279</v>
      </c>
      <c r="C19" s="151"/>
      <c r="D19" s="150">
        <v>0</v>
      </c>
      <c r="E19" s="150">
        <v>0</v>
      </c>
      <c r="F19" s="150">
        <v>0</v>
      </c>
      <c r="G19" s="150">
        <v>0</v>
      </c>
      <c r="H19" s="150">
        <f t="shared" si="0"/>
        <v>2279</v>
      </c>
      <c r="I19" s="151"/>
      <c r="J19" s="152">
        <v>0</v>
      </c>
      <c r="K19" s="150">
        <v>0</v>
      </c>
      <c r="L19" s="150">
        <v>0</v>
      </c>
      <c r="M19" s="153">
        <f t="shared" si="1"/>
        <v>2279</v>
      </c>
      <c r="N19" s="151"/>
      <c r="O19" s="152">
        <v>0</v>
      </c>
      <c r="P19" s="150">
        <v>0</v>
      </c>
      <c r="Q19" s="150">
        <v>0</v>
      </c>
      <c r="R19" s="150">
        <f t="shared" si="2"/>
        <v>2279</v>
      </c>
      <c r="S19" s="151"/>
      <c r="T19" s="152">
        <v>0</v>
      </c>
      <c r="U19" s="150">
        <v>0</v>
      </c>
      <c r="V19" s="150">
        <v>0</v>
      </c>
      <c r="W19" s="150">
        <f t="shared" si="3"/>
        <v>2279</v>
      </c>
    </row>
    <row r="20" spans="1:23" ht="24.75" customHeight="1">
      <c r="A20" s="38"/>
      <c r="B20" s="150"/>
      <c r="C20" s="151"/>
      <c r="D20" s="150"/>
      <c r="E20" s="150"/>
      <c r="F20" s="150"/>
      <c r="G20" s="150"/>
      <c r="H20" s="150"/>
      <c r="I20" s="151"/>
      <c r="J20" s="150"/>
      <c r="K20" s="150"/>
      <c r="L20" s="150"/>
      <c r="M20" s="153"/>
      <c r="N20" s="151"/>
      <c r="O20" s="152"/>
      <c r="P20" s="150"/>
      <c r="Q20" s="150"/>
      <c r="R20" s="150"/>
      <c r="S20" s="151"/>
      <c r="T20" s="152"/>
      <c r="U20" s="150"/>
      <c r="V20" s="150"/>
      <c r="W20" s="150"/>
    </row>
    <row r="21" spans="1:23" s="35" customFormat="1" ht="24.75" customHeight="1">
      <c r="A21" s="69" t="s">
        <v>96</v>
      </c>
      <c r="B21" s="155">
        <f>SUM(B6:B20)</f>
        <v>24355</v>
      </c>
      <c r="C21" s="156"/>
      <c r="D21" s="155">
        <f>SUM(D6:D20)</f>
        <v>-261</v>
      </c>
      <c r="E21" s="155">
        <f>SUM(E6:E20)</f>
        <v>1027</v>
      </c>
      <c r="F21" s="155">
        <f>SUM(F6:F20)</f>
        <v>-830</v>
      </c>
      <c r="G21" s="155">
        <f>SUM(G6:G20)</f>
        <v>666</v>
      </c>
      <c r="H21" s="155">
        <f>SUM(B21:G21)</f>
        <v>24957</v>
      </c>
      <c r="I21" s="156"/>
      <c r="J21" s="155">
        <f>SUM(J6:J20)</f>
        <v>252</v>
      </c>
      <c r="K21" s="155">
        <f>SUM(K6:K20)</f>
        <v>-944</v>
      </c>
      <c r="L21" s="155">
        <f>SUM(L6:L20)</f>
        <v>688</v>
      </c>
      <c r="M21" s="155">
        <f>SUM(H21:L21)</f>
        <v>24953</v>
      </c>
      <c r="N21" s="155"/>
      <c r="O21" s="155">
        <f>SUM(O6:O20)</f>
        <v>268</v>
      </c>
      <c r="P21" s="155">
        <f>SUM(P6:P20)</f>
        <v>0</v>
      </c>
      <c r="Q21" s="155">
        <f>SUM(Q6:Q20)</f>
        <v>711</v>
      </c>
      <c r="R21" s="155">
        <f>SUM(M21:Q21)</f>
        <v>25932</v>
      </c>
      <c r="S21" s="155"/>
      <c r="T21" s="155">
        <f>SUM(T6:T20)</f>
        <v>284</v>
      </c>
      <c r="U21" s="155">
        <f>SUM(U6:U20)</f>
        <v>-177</v>
      </c>
      <c r="V21" s="155">
        <f>SUM(V6:V20)</f>
        <v>653</v>
      </c>
      <c r="W21" s="155">
        <f>SUM(R21:V21)</f>
        <v>26692</v>
      </c>
    </row>
    <row r="22" spans="1:23" s="35" customFormat="1" ht="24.75" customHeight="1">
      <c r="A22" s="69" t="s">
        <v>75</v>
      </c>
      <c r="B22" s="155">
        <v>0</v>
      </c>
      <c r="C22" s="156"/>
      <c r="D22" s="155">
        <v>0</v>
      </c>
      <c r="E22" s="155">
        <v>0</v>
      </c>
      <c r="F22" s="155">
        <v>0</v>
      </c>
      <c r="G22" s="155">
        <v>0</v>
      </c>
      <c r="H22" s="155">
        <f>SUM(B22:G22)</f>
        <v>0</v>
      </c>
      <c r="I22" s="156"/>
      <c r="J22" s="155">
        <v>0</v>
      </c>
      <c r="K22" s="155">
        <v>0</v>
      </c>
      <c r="L22" s="155">
        <v>0</v>
      </c>
      <c r="M22" s="155">
        <f>SUM(H22:L22)</f>
        <v>0</v>
      </c>
      <c r="N22" s="155"/>
      <c r="O22" s="155">
        <v>0</v>
      </c>
      <c r="P22" s="155">
        <v>-961</v>
      </c>
      <c r="Q22" s="155">
        <v>0</v>
      </c>
      <c r="R22" s="155">
        <f>SUM(M22:Q22)</f>
        <v>-961</v>
      </c>
      <c r="S22" s="155"/>
      <c r="T22" s="155">
        <v>0</v>
      </c>
      <c r="U22" s="155">
        <v>-702</v>
      </c>
      <c r="V22" s="155">
        <v>0</v>
      </c>
      <c r="W22" s="155">
        <f>SUM(R22:V22)</f>
        <v>-1663</v>
      </c>
    </row>
    <row r="23" spans="1:23" s="59" customFormat="1" ht="34.5" customHeight="1">
      <c r="A23" s="69" t="s">
        <v>97</v>
      </c>
      <c r="B23" s="155">
        <f>SUM(B21:B22)</f>
        <v>24355</v>
      </c>
      <c r="C23" s="157"/>
      <c r="D23" s="157">
        <f>SUM(D21:D22)</f>
        <v>-261</v>
      </c>
      <c r="E23" s="155">
        <f>SUM(E21:E22)</f>
        <v>1027</v>
      </c>
      <c r="F23" s="155">
        <f>SUM(F21:F22)</f>
        <v>-830</v>
      </c>
      <c r="G23" s="157">
        <f>SUM(G21:G22)</f>
        <v>666</v>
      </c>
      <c r="H23" s="155">
        <f>SUM(B23:G23)</f>
        <v>24957</v>
      </c>
      <c r="I23" s="157"/>
      <c r="J23" s="157">
        <f>SUM(J21:J22)</f>
        <v>252</v>
      </c>
      <c r="K23" s="155">
        <f>SUM(K21:K22)</f>
        <v>-944</v>
      </c>
      <c r="L23" s="155">
        <f>SUM(L21:L22)</f>
        <v>688</v>
      </c>
      <c r="M23" s="155">
        <f>SUM(H23:L23)</f>
        <v>24953</v>
      </c>
      <c r="N23" s="155"/>
      <c r="O23" s="155">
        <f>SUM(O21:O22)</f>
        <v>268</v>
      </c>
      <c r="P23" s="155">
        <f>SUM(P21:P22)</f>
        <v>-961</v>
      </c>
      <c r="Q23" s="155">
        <f>SUM(Q21:Q22)</f>
        <v>711</v>
      </c>
      <c r="R23" s="155">
        <f>SUM(M23:Q23)</f>
        <v>24971</v>
      </c>
      <c r="S23" s="155"/>
      <c r="T23" s="155">
        <f>SUM(T21:T22)</f>
        <v>284</v>
      </c>
      <c r="U23" s="155">
        <f>SUM(U21:U22)</f>
        <v>-879</v>
      </c>
      <c r="V23" s="155">
        <f>SUM(V21:V22)</f>
        <v>653</v>
      </c>
      <c r="W23" s="155">
        <f>SUM(R23:V23)</f>
        <v>25029</v>
      </c>
    </row>
    <row r="24" spans="1:18" s="30" customFormat="1" ht="12.75" customHeight="1">
      <c r="A24" s="31"/>
      <c r="B24" s="32"/>
      <c r="C24" s="32"/>
      <c r="D24" s="32"/>
      <c r="E24" s="33"/>
      <c r="F24" s="33"/>
      <c r="G24" s="33"/>
      <c r="H24" s="34"/>
      <c r="I24" s="32"/>
      <c r="J24" s="33"/>
      <c r="K24" s="33"/>
      <c r="L24" s="33"/>
      <c r="M24" s="33"/>
      <c r="N24" s="33"/>
      <c r="O24" s="32"/>
      <c r="P24" s="32"/>
      <c r="Q24" s="32"/>
      <c r="R24" s="32"/>
    </row>
    <row r="25" ht="13.5" customHeight="1">
      <c r="A25" s="35"/>
    </row>
    <row r="26" ht="12.75">
      <c r="A26" s="35"/>
    </row>
    <row r="27" ht="12.75">
      <c r="A27" s="35"/>
    </row>
    <row r="28" ht="12.75">
      <c r="A28" s="35"/>
    </row>
    <row r="29" ht="12.75">
      <c r="A29" s="35"/>
    </row>
    <row r="30" ht="12.75">
      <c r="A30" s="35"/>
    </row>
  </sheetData>
  <mergeCells count="4">
    <mergeCell ref="A2:W2"/>
    <mergeCell ref="J4:M4"/>
    <mergeCell ref="O4:R4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5" r:id="rId2"/>
  <headerFooter alignWithMargins="0">
    <oddHeader>&amp;R&amp;"Arial,Bold"&amp;8APPENDIX C</oddHeader>
    <oddFooter>&amp;L&amp;F\&amp;A&amp;R&amp;9 92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workbookViewId="0" topLeftCell="A1">
      <pane xSplit="16485" topLeftCell="AL1" activePane="topLeft" state="split"/>
      <selection pane="topLeft" activeCell="A22" sqref="A22:D27"/>
      <selection pane="topRight" activeCell="U21" sqref="U21"/>
    </sheetView>
  </sheetViews>
  <sheetFormatPr defaultColWidth="9.140625" defaultRowHeight="12.75"/>
  <cols>
    <col min="1" max="1" width="27.8515625" style="0" customWidth="1"/>
    <col min="2" max="2" width="10.7109375" style="2" customWidth="1"/>
    <col min="3" max="3" width="0.71875" style="0" customWidth="1"/>
    <col min="4" max="4" width="11.57421875" style="0" customWidth="1"/>
    <col min="5" max="6" width="10.7109375" style="0" customWidth="1"/>
    <col min="7" max="8" width="10.7109375" style="2" customWidth="1"/>
    <col min="9" max="9" width="0.71875" style="0" customWidth="1"/>
    <col min="10" max="13" width="10.7109375" style="2" customWidth="1"/>
    <col min="14" max="14" width="0.71875" style="2" customWidth="1"/>
    <col min="15" max="15" width="11.140625" style="0" customWidth="1"/>
    <col min="16" max="16" width="10.8515625" style="0" customWidth="1"/>
    <col min="17" max="18" width="10.57421875" style="0" customWidth="1"/>
    <col min="19" max="19" width="1.57421875" style="0" customWidth="1"/>
    <col min="21" max="21" width="10.8515625" style="0" bestFit="1" customWidth="1"/>
    <col min="22" max="22" width="10.57421875" style="0" bestFit="1" customWidth="1"/>
    <col min="23" max="23" width="10.140625" style="0" bestFit="1" customWidth="1"/>
  </cols>
  <sheetData>
    <row r="1" spans="1:23" ht="15.75">
      <c r="A1" s="1" t="s">
        <v>234</v>
      </c>
      <c r="W1" s="3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1</v>
      </c>
      <c r="C4" s="6"/>
      <c r="D4" s="253" t="s">
        <v>2</v>
      </c>
      <c r="E4" s="254"/>
      <c r="F4" s="254"/>
      <c r="G4" s="254"/>
      <c r="H4" s="255"/>
      <c r="I4" s="9"/>
      <c r="J4" s="250" t="s">
        <v>3</v>
      </c>
      <c r="K4" s="251"/>
      <c r="L4" s="251"/>
      <c r="M4" s="252"/>
      <c r="N4" s="10"/>
      <c r="O4" s="11" t="s">
        <v>4</v>
      </c>
      <c r="P4" s="7"/>
      <c r="Q4" s="7"/>
      <c r="R4" s="8"/>
      <c r="S4" s="10"/>
      <c r="T4" s="7" t="s">
        <v>5</v>
      </c>
      <c r="U4" s="7"/>
      <c r="V4" s="7"/>
      <c r="W4" s="8"/>
    </row>
    <row r="5" spans="1:23" s="16" customFormat="1" ht="66" customHeight="1">
      <c r="A5" s="13" t="s">
        <v>6</v>
      </c>
      <c r="B5" s="60" t="s">
        <v>7</v>
      </c>
      <c r="C5" s="61"/>
      <c r="D5" s="62" t="s">
        <v>218</v>
      </c>
      <c r="E5" s="62" t="s">
        <v>220</v>
      </c>
      <c r="F5" s="62" t="s">
        <v>221</v>
      </c>
      <c r="G5" s="62" t="s">
        <v>222</v>
      </c>
      <c r="H5" s="60" t="s">
        <v>223</v>
      </c>
      <c r="I5" s="63"/>
      <c r="J5" s="62" t="s">
        <v>231</v>
      </c>
      <c r="K5" s="62" t="s">
        <v>224</v>
      </c>
      <c r="L5" s="62" t="s">
        <v>225</v>
      </c>
      <c r="M5" s="64" t="s">
        <v>190</v>
      </c>
      <c r="N5" s="65"/>
      <c r="O5" s="202" t="s">
        <v>232</v>
      </c>
      <c r="P5" s="62" t="s">
        <v>226</v>
      </c>
      <c r="Q5" s="62" t="s">
        <v>227</v>
      </c>
      <c r="R5" s="60" t="s">
        <v>193</v>
      </c>
      <c r="S5" s="65"/>
      <c r="T5" s="202" t="s">
        <v>233</v>
      </c>
      <c r="U5" s="62" t="s">
        <v>228</v>
      </c>
      <c r="V5" s="62" t="s">
        <v>229</v>
      </c>
      <c r="W5" s="60" t="s">
        <v>230</v>
      </c>
    </row>
    <row r="6" spans="1:23" ht="24.75" customHeight="1">
      <c r="A6" s="17" t="s">
        <v>8</v>
      </c>
      <c r="B6" s="18"/>
      <c r="C6" s="19"/>
      <c r="D6" s="20"/>
      <c r="E6" s="20"/>
      <c r="F6" s="20"/>
      <c r="G6" s="18"/>
      <c r="H6" s="18"/>
      <c r="I6" s="21"/>
      <c r="J6" s="22"/>
      <c r="K6" s="22"/>
      <c r="L6" s="22"/>
      <c r="M6" s="23"/>
      <c r="N6" s="21"/>
      <c r="O6" s="24"/>
      <c r="P6" s="22"/>
      <c r="Q6" s="22"/>
      <c r="R6" s="22"/>
      <c r="S6" s="21"/>
      <c r="T6" s="24"/>
      <c r="U6" s="22"/>
      <c r="V6" s="22"/>
      <c r="W6" s="22"/>
    </row>
    <row r="7" spans="1:23" ht="24.75" customHeight="1">
      <c r="A7" s="17" t="s">
        <v>9</v>
      </c>
      <c r="B7" s="18"/>
      <c r="C7" s="19"/>
      <c r="D7" s="20"/>
      <c r="E7" s="20"/>
      <c r="F7" s="20"/>
      <c r="G7" s="18"/>
      <c r="I7" s="21"/>
      <c r="J7" s="22"/>
      <c r="K7" s="22"/>
      <c r="L7" s="22"/>
      <c r="M7" s="23"/>
      <c r="N7" s="21"/>
      <c r="O7" s="24"/>
      <c r="P7" s="22"/>
      <c r="Q7" s="22"/>
      <c r="R7" s="22"/>
      <c r="S7" s="21"/>
      <c r="T7" s="24"/>
      <c r="U7" s="22"/>
      <c r="V7" s="22"/>
      <c r="W7" s="22"/>
    </row>
    <row r="8" spans="1:23" ht="24.75" customHeight="1">
      <c r="A8" s="20" t="s">
        <v>10</v>
      </c>
      <c r="B8" s="22">
        <v>130983</v>
      </c>
      <c r="C8" s="21"/>
      <c r="D8" s="22">
        <v>10343</v>
      </c>
      <c r="E8" s="22"/>
      <c r="F8" s="22"/>
      <c r="G8" s="22"/>
      <c r="H8" s="22">
        <v>141326</v>
      </c>
      <c r="I8" s="21"/>
      <c r="J8" s="22">
        <v>11197.79764549598</v>
      </c>
      <c r="K8" s="22"/>
      <c r="L8" s="22"/>
      <c r="M8" s="23">
        <v>152523.79764549597</v>
      </c>
      <c r="N8" s="21"/>
      <c r="O8" s="22">
        <v>10592.236327093444</v>
      </c>
      <c r="P8" s="22"/>
      <c r="Q8" s="20"/>
      <c r="R8" s="22">
        <v>163116.03397258942</v>
      </c>
      <c r="S8" s="21"/>
      <c r="T8" s="22">
        <v>9638.970166283258</v>
      </c>
      <c r="U8" s="22"/>
      <c r="V8" s="20"/>
      <c r="W8" s="22">
        <v>172755.00413887267</v>
      </c>
    </row>
    <row r="9" spans="1:23" ht="24.75" customHeight="1">
      <c r="A9" s="20" t="s">
        <v>11</v>
      </c>
      <c r="B9" s="22">
        <v>1313</v>
      </c>
      <c r="C9" s="21"/>
      <c r="D9" s="22">
        <v>53</v>
      </c>
      <c r="E9" s="22"/>
      <c r="F9" s="22"/>
      <c r="G9" s="22"/>
      <c r="H9" s="22">
        <v>1366</v>
      </c>
      <c r="I9" s="21"/>
      <c r="J9" s="22"/>
      <c r="K9" s="22"/>
      <c r="L9" s="22"/>
      <c r="M9" s="23">
        <v>1366</v>
      </c>
      <c r="N9" s="21"/>
      <c r="O9" s="22">
        <v>55.13937547600914</v>
      </c>
      <c r="P9" s="22"/>
      <c r="Q9" s="20"/>
      <c r="R9" s="22">
        <v>1421.139375476009</v>
      </c>
      <c r="S9" s="21"/>
      <c r="T9" s="22">
        <v>51.36510807328902</v>
      </c>
      <c r="U9" s="22"/>
      <c r="V9" s="20"/>
      <c r="W9" s="22">
        <v>1472.5044835492981</v>
      </c>
    </row>
    <row r="10" spans="1:23" ht="24.75" customHeight="1">
      <c r="A10" s="20" t="s">
        <v>12</v>
      </c>
      <c r="B10" s="22">
        <v>11910</v>
      </c>
      <c r="C10" s="21"/>
      <c r="D10" s="22">
        <v>9322</v>
      </c>
      <c r="E10" s="22"/>
      <c r="F10" s="22"/>
      <c r="G10" s="22"/>
      <c r="H10" s="22">
        <v>21232</v>
      </c>
      <c r="I10" s="21"/>
      <c r="J10" s="22">
        <v>849.28</v>
      </c>
      <c r="K10" s="22"/>
      <c r="L10" s="18"/>
      <c r="M10" s="23">
        <v>22081.28</v>
      </c>
      <c r="N10" s="21"/>
      <c r="O10" s="22">
        <v>883.2511999999999</v>
      </c>
      <c r="P10" s="22"/>
      <c r="Q10" s="20"/>
      <c r="R10" s="22">
        <v>22964.531199999998</v>
      </c>
      <c r="S10" s="21"/>
      <c r="T10" s="22">
        <v>918.581248</v>
      </c>
      <c r="U10" s="22"/>
      <c r="V10" s="20"/>
      <c r="W10" s="22">
        <v>23883.112447999996</v>
      </c>
    </row>
    <row r="11" spans="1:23" ht="24.75" customHeight="1">
      <c r="A11" s="20" t="s">
        <v>13</v>
      </c>
      <c r="B11" s="22">
        <v>-6142</v>
      </c>
      <c r="C11" s="21"/>
      <c r="D11" s="22">
        <v>-646</v>
      </c>
      <c r="E11" s="22"/>
      <c r="F11" s="22"/>
      <c r="G11" s="25"/>
      <c r="H11" s="22">
        <v>-6788</v>
      </c>
      <c r="I11" s="21"/>
      <c r="J11" s="22">
        <v>-271.52</v>
      </c>
      <c r="K11" s="22"/>
      <c r="L11" s="18"/>
      <c r="M11" s="23">
        <v>-7059.52</v>
      </c>
      <c r="N11" s="21"/>
      <c r="O11" s="22">
        <v>-282.3808</v>
      </c>
      <c r="P11" s="22"/>
      <c r="Q11" s="20"/>
      <c r="R11" s="22">
        <v>-7341.9008</v>
      </c>
      <c r="S11" s="21"/>
      <c r="T11" s="22">
        <v>-293.676032</v>
      </c>
      <c r="U11" s="22"/>
      <c r="V11" s="20"/>
      <c r="W11" s="22">
        <v>-7635.576832000001</v>
      </c>
    </row>
    <row r="12" spans="1:23" ht="24.75" customHeight="1">
      <c r="A12" s="20" t="s">
        <v>14</v>
      </c>
      <c r="B12" s="22">
        <v>979</v>
      </c>
      <c r="C12" s="21"/>
      <c r="D12" s="22">
        <v>28</v>
      </c>
      <c r="E12" s="22"/>
      <c r="F12" s="22"/>
      <c r="G12" s="22"/>
      <c r="H12" s="22">
        <v>1007</v>
      </c>
      <c r="I12" s="21"/>
      <c r="J12" s="22">
        <v>28.800817160367725</v>
      </c>
      <c r="K12" s="22"/>
      <c r="L12" s="18"/>
      <c r="M12" s="23">
        <v>1035.8008171603676</v>
      </c>
      <c r="N12" s="21"/>
      <c r="O12" s="22">
        <v>29.624538182318993</v>
      </c>
      <c r="P12" s="22"/>
      <c r="Q12" s="20"/>
      <c r="R12" s="22">
        <v>1065.4253553426865</v>
      </c>
      <c r="S12" s="21"/>
      <c r="T12" s="22">
        <v>30.471818130332203</v>
      </c>
      <c r="U12" s="22"/>
      <c r="V12" s="20"/>
      <c r="W12" s="22">
        <v>1095.8971734730187</v>
      </c>
    </row>
    <row r="13" spans="1:23" ht="24.75" customHeight="1">
      <c r="A13" s="20" t="s">
        <v>15</v>
      </c>
      <c r="B13" s="22">
        <v>1</v>
      </c>
      <c r="C13" s="19"/>
      <c r="D13" s="22">
        <v>0</v>
      </c>
      <c r="E13" s="20"/>
      <c r="F13" s="20"/>
      <c r="G13" s="22"/>
      <c r="H13" s="22">
        <v>1</v>
      </c>
      <c r="I13" s="21"/>
      <c r="J13" s="22">
        <v>0</v>
      </c>
      <c r="K13" s="22"/>
      <c r="L13" s="18"/>
      <c r="M13" s="23">
        <v>1</v>
      </c>
      <c r="N13" s="21"/>
      <c r="O13" s="22">
        <v>0</v>
      </c>
      <c r="P13" s="22"/>
      <c r="Q13" s="20"/>
      <c r="R13" s="22">
        <v>1</v>
      </c>
      <c r="S13" s="21"/>
      <c r="T13" s="22">
        <v>0</v>
      </c>
      <c r="U13" s="22"/>
      <c r="V13" s="20"/>
      <c r="W13" s="22">
        <v>1</v>
      </c>
    </row>
    <row r="14" spans="1:23" ht="24.75" customHeight="1">
      <c r="A14" s="20" t="s">
        <v>16</v>
      </c>
      <c r="B14" s="22">
        <v>1814</v>
      </c>
      <c r="C14" s="21"/>
      <c r="D14" s="22">
        <v>64</v>
      </c>
      <c r="E14" s="22"/>
      <c r="F14" s="22"/>
      <c r="G14" s="22"/>
      <c r="H14" s="22">
        <v>1878</v>
      </c>
      <c r="I14" s="21"/>
      <c r="J14" s="22">
        <v>66.25799338478501</v>
      </c>
      <c r="K14" s="22"/>
      <c r="L14" s="18"/>
      <c r="M14" s="23">
        <v>1944.257993384785</v>
      </c>
      <c r="N14" s="21"/>
      <c r="O14" s="22">
        <v>68.5956513652846</v>
      </c>
      <c r="P14" s="22"/>
      <c r="Q14" s="20"/>
      <c r="R14" s="22">
        <v>2012.8536447500696</v>
      </c>
      <c r="S14" s="21"/>
      <c r="T14" s="22">
        <v>71.01578459978195</v>
      </c>
      <c r="U14" s="22"/>
      <c r="V14" s="20"/>
      <c r="W14" s="22">
        <v>2083.8694293498515</v>
      </c>
    </row>
    <row r="15" spans="1:23" ht="24.75" customHeight="1">
      <c r="A15" s="20" t="s">
        <v>17</v>
      </c>
      <c r="B15" s="22">
        <v>301</v>
      </c>
      <c r="C15" s="21"/>
      <c r="D15" s="22">
        <v>9</v>
      </c>
      <c r="E15" s="22"/>
      <c r="F15" s="22"/>
      <c r="G15" s="22"/>
      <c r="H15" s="22">
        <v>310</v>
      </c>
      <c r="I15" s="21"/>
      <c r="J15" s="22">
        <v>9.269102990033224</v>
      </c>
      <c r="K15" s="22"/>
      <c r="L15" s="18"/>
      <c r="M15" s="23">
        <v>319.2691029900332</v>
      </c>
      <c r="N15" s="21"/>
      <c r="O15" s="22">
        <v>9.546252248871426</v>
      </c>
      <c r="P15" s="22"/>
      <c r="Q15" s="20"/>
      <c r="R15" s="22">
        <v>328.81535523890466</v>
      </c>
      <c r="S15" s="21"/>
      <c r="T15" s="22">
        <v>9.831688362625057</v>
      </c>
      <c r="U15" s="22"/>
      <c r="V15" s="20"/>
      <c r="W15" s="22">
        <v>338.64704360152973</v>
      </c>
    </row>
    <row r="16" spans="1:23" ht="24.75" customHeight="1">
      <c r="A16" s="20" t="s">
        <v>18</v>
      </c>
      <c r="B16" s="22">
        <v>54</v>
      </c>
      <c r="C16" s="21"/>
      <c r="D16" s="22">
        <v>2</v>
      </c>
      <c r="E16" s="22"/>
      <c r="F16" s="22"/>
      <c r="G16" s="22"/>
      <c r="H16" s="22">
        <v>56</v>
      </c>
      <c r="I16" s="21"/>
      <c r="J16" s="22">
        <v>2.074074074074074</v>
      </c>
      <c r="K16" s="22"/>
      <c r="L16" s="18"/>
      <c r="M16" s="23">
        <v>58.074074074074076</v>
      </c>
      <c r="N16" s="21"/>
      <c r="O16" s="22">
        <v>2.150891632373114</v>
      </c>
      <c r="P16" s="22"/>
      <c r="Q16" s="20"/>
      <c r="R16" s="22">
        <v>60.22496570644719</v>
      </c>
      <c r="S16" s="21"/>
      <c r="T16" s="22">
        <v>2.23055428542397</v>
      </c>
      <c r="U16" s="22"/>
      <c r="V16" s="20"/>
      <c r="W16" s="22">
        <v>62.455519991871164</v>
      </c>
    </row>
    <row r="17" spans="1:23" ht="24.75" customHeight="1">
      <c r="A17" s="20" t="s">
        <v>19</v>
      </c>
      <c r="B17" s="22">
        <v>74</v>
      </c>
      <c r="C17" s="21"/>
      <c r="D17" s="22">
        <v>2</v>
      </c>
      <c r="E17" s="22"/>
      <c r="F17" s="22"/>
      <c r="G17" s="22"/>
      <c r="H17" s="22">
        <v>76</v>
      </c>
      <c r="I17" s="21"/>
      <c r="J17" s="22">
        <v>2.0540540540540544</v>
      </c>
      <c r="K17" s="22"/>
      <c r="L17" s="18"/>
      <c r="M17" s="23">
        <v>78.05405405405405</v>
      </c>
      <c r="N17" s="21"/>
      <c r="O17" s="22">
        <v>2.1095690284879476</v>
      </c>
      <c r="P17" s="20"/>
      <c r="Q17" s="20"/>
      <c r="R17" s="22">
        <v>80.163623082542</v>
      </c>
      <c r="S17" s="21"/>
      <c r="T17" s="22">
        <v>2.1665844076362704</v>
      </c>
      <c r="U17" s="20"/>
      <c r="V17" s="20"/>
      <c r="W17" s="22">
        <v>82.33020749017827</v>
      </c>
    </row>
    <row r="18" spans="1:23" ht="24.75" customHeight="1">
      <c r="A18" s="20" t="s">
        <v>20</v>
      </c>
      <c r="B18" s="22">
        <v>84</v>
      </c>
      <c r="C18" s="21"/>
      <c r="D18" s="22">
        <v>2</v>
      </c>
      <c r="E18" s="22"/>
      <c r="F18" s="22"/>
      <c r="G18" s="22"/>
      <c r="H18" s="22">
        <v>86</v>
      </c>
      <c r="I18" s="21"/>
      <c r="J18" s="22">
        <v>2.0476190476190474</v>
      </c>
      <c r="K18" s="22"/>
      <c r="L18" s="18"/>
      <c r="M18" s="23">
        <v>88.04761904761905</v>
      </c>
      <c r="N18" s="21"/>
      <c r="O18" s="22">
        <v>2.0963718820861676</v>
      </c>
      <c r="P18" s="20"/>
      <c r="Q18" s="20"/>
      <c r="R18" s="22">
        <v>90.14399092970523</v>
      </c>
      <c r="S18" s="21"/>
      <c r="T18" s="22">
        <v>2.1462854983263147</v>
      </c>
      <c r="U18" s="20"/>
      <c r="V18" s="20"/>
      <c r="W18" s="22">
        <v>92.29027642803155</v>
      </c>
    </row>
    <row r="19" spans="1:23" ht="24.75" customHeight="1">
      <c r="A19" s="20" t="s">
        <v>21</v>
      </c>
      <c r="B19" s="22">
        <v>1068</v>
      </c>
      <c r="C19" s="21"/>
      <c r="D19" s="22">
        <v>224</v>
      </c>
      <c r="E19" s="22"/>
      <c r="F19" s="22"/>
      <c r="G19" s="22"/>
      <c r="H19" s="22">
        <v>1292</v>
      </c>
      <c r="I19" s="21"/>
      <c r="J19" s="22">
        <v>33.87265917602996</v>
      </c>
      <c r="K19" s="22"/>
      <c r="L19" s="18"/>
      <c r="M19" s="23">
        <v>1325.8726591760299</v>
      </c>
      <c r="N19" s="21"/>
      <c r="O19" s="22">
        <v>34.76070642034536</v>
      </c>
      <c r="P19" s="22"/>
      <c r="Q19" s="20"/>
      <c r="R19" s="22">
        <v>1360.6333655963751</v>
      </c>
      <c r="S19" s="21"/>
      <c r="T19" s="22">
        <v>35.67203580215216</v>
      </c>
      <c r="U19" s="22"/>
      <c r="V19" s="20"/>
      <c r="W19" s="22">
        <v>1396.3054013985272</v>
      </c>
    </row>
    <row r="20" spans="1:23" s="30" customFormat="1" ht="34.5" customHeight="1">
      <c r="A20" s="27" t="s">
        <v>22</v>
      </c>
      <c r="B20" s="28">
        <v>142439</v>
      </c>
      <c r="C20" s="28">
        <v>0</v>
      </c>
      <c r="D20" s="22">
        <v>19403</v>
      </c>
      <c r="E20" s="28"/>
      <c r="F20" s="28"/>
      <c r="G20" s="28"/>
      <c r="H20" s="22">
        <v>161842</v>
      </c>
      <c r="I20" s="28"/>
      <c r="J20" s="28">
        <v>11416.933965382941</v>
      </c>
      <c r="K20" s="28"/>
      <c r="L20" s="205"/>
      <c r="M20" s="22">
        <v>173761.93396538295</v>
      </c>
      <c r="N20" s="29"/>
      <c r="O20" s="28">
        <v>11397.130083329219</v>
      </c>
      <c r="P20" s="28"/>
      <c r="Q20" s="205"/>
      <c r="R20" s="22">
        <v>185159.06404871217</v>
      </c>
      <c r="S20" s="29"/>
      <c r="T20" s="28">
        <v>10468.775241442825</v>
      </c>
      <c r="U20" s="28"/>
      <c r="V20" s="205"/>
      <c r="W20" s="28">
        <v>195627.839290155</v>
      </c>
    </row>
    <row r="21" spans="1:23" s="30" customFormat="1" ht="12.75" customHeight="1">
      <c r="A21" s="31"/>
      <c r="B21" s="32"/>
      <c r="C21" s="32"/>
      <c r="D21" s="32"/>
      <c r="E21" s="33"/>
      <c r="F21" s="33"/>
      <c r="G21" s="33"/>
      <c r="H21" s="34"/>
      <c r="I21" s="32"/>
      <c r="J21" s="33"/>
      <c r="K21" s="33"/>
      <c r="L21" s="33"/>
      <c r="M21" s="33"/>
      <c r="N21" s="33"/>
      <c r="O21" s="32"/>
      <c r="P21" s="32"/>
      <c r="Q21" s="32"/>
      <c r="R21" s="32"/>
      <c r="S21" s="12"/>
      <c r="T21" s="12"/>
      <c r="U21" s="12"/>
      <c r="V21" s="12"/>
      <c r="W21" s="12"/>
    </row>
    <row r="22" spans="1:23" ht="12.75">
      <c r="A22" s="35"/>
      <c r="S22" s="16"/>
      <c r="T22" s="16"/>
      <c r="U22" s="16"/>
      <c r="V22" s="16"/>
      <c r="W22" s="16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37" spans="19:23" ht="12.75">
      <c r="S37" s="30"/>
      <c r="T37" s="30"/>
      <c r="U37" s="30"/>
      <c r="V37" s="30"/>
      <c r="W37" s="30"/>
    </row>
    <row r="38" spans="19:23" ht="12.75">
      <c r="S38" s="30"/>
      <c r="T38" s="30"/>
      <c r="U38" s="30"/>
      <c r="V38" s="30"/>
      <c r="W38" s="30"/>
    </row>
  </sheetData>
  <mergeCells count="3">
    <mergeCell ref="J4:M4"/>
    <mergeCell ref="A2:W2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3" r:id="rId2"/>
  <headerFooter alignWithMargins="0">
    <oddHeader>&amp;R&amp;"Arial,Bold"&amp;8APPENDIX C</oddHeader>
    <oddFooter>&amp;L&amp;F\&amp;A&amp;R&amp;9 93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workbookViewId="0" topLeftCell="A6">
      <selection activeCell="F18" sqref="F18"/>
    </sheetView>
  </sheetViews>
  <sheetFormatPr defaultColWidth="9.140625" defaultRowHeight="12.75"/>
  <cols>
    <col min="1" max="1" width="28.140625" style="0" customWidth="1"/>
    <col min="2" max="2" width="11.421875" style="2" customWidth="1"/>
    <col min="3" max="3" width="0.71875" style="0" customWidth="1"/>
    <col min="4" max="4" width="11.421875" style="0" customWidth="1"/>
    <col min="5" max="6" width="10.7109375" style="0" customWidth="1"/>
    <col min="7" max="8" width="10.7109375" style="2" customWidth="1"/>
    <col min="9" max="9" width="0.71875" style="0" customWidth="1"/>
    <col min="10" max="13" width="10.7109375" style="2" customWidth="1"/>
    <col min="14" max="14" width="0.71875" style="2" customWidth="1"/>
    <col min="15" max="15" width="11.140625" style="0" customWidth="1"/>
    <col min="16" max="16" width="10.8515625" style="0" customWidth="1"/>
    <col min="17" max="18" width="10.57421875" style="0" customWidth="1"/>
    <col min="19" max="19" width="0.71875" style="0" customWidth="1"/>
    <col min="21" max="21" width="10.8515625" style="0" customWidth="1"/>
    <col min="22" max="22" width="10.57421875" style="0" customWidth="1"/>
    <col min="23" max="23" width="10.140625" style="0" customWidth="1"/>
  </cols>
  <sheetData>
    <row r="1" spans="1:23" ht="15.75">
      <c r="A1" s="1" t="s">
        <v>234</v>
      </c>
      <c r="W1" s="3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1</v>
      </c>
      <c r="C4" s="6"/>
      <c r="D4" s="253" t="s">
        <v>2</v>
      </c>
      <c r="E4" s="254"/>
      <c r="F4" s="254"/>
      <c r="G4" s="254"/>
      <c r="H4" s="255"/>
      <c r="I4" s="9"/>
      <c r="J4" s="250" t="s">
        <v>3</v>
      </c>
      <c r="K4" s="251"/>
      <c r="L4" s="251"/>
      <c r="M4" s="252"/>
      <c r="N4" s="10"/>
      <c r="O4" s="7" t="s">
        <v>4</v>
      </c>
      <c r="P4" s="7"/>
      <c r="Q4" s="7"/>
      <c r="R4" s="8"/>
      <c r="S4" s="10"/>
      <c r="T4" s="7" t="s">
        <v>5</v>
      </c>
      <c r="U4" s="7"/>
      <c r="V4" s="7"/>
      <c r="W4" s="8"/>
    </row>
    <row r="5" spans="1:23" s="16" customFormat="1" ht="66" customHeight="1">
      <c r="A5" s="13" t="s">
        <v>6</v>
      </c>
      <c r="B5" s="60" t="s">
        <v>7</v>
      </c>
      <c r="C5" s="61"/>
      <c r="D5" s="62" t="s">
        <v>218</v>
      </c>
      <c r="E5" s="62" t="s">
        <v>220</v>
      </c>
      <c r="F5" s="62" t="s">
        <v>221</v>
      </c>
      <c r="G5" s="62" t="s">
        <v>222</v>
      </c>
      <c r="H5" s="60" t="s">
        <v>223</v>
      </c>
      <c r="I5" s="63"/>
      <c r="J5" s="62" t="s">
        <v>231</v>
      </c>
      <c r="K5" s="62" t="s">
        <v>224</v>
      </c>
      <c r="L5" s="62" t="s">
        <v>225</v>
      </c>
      <c r="M5" s="64" t="s">
        <v>190</v>
      </c>
      <c r="N5" s="65"/>
      <c r="O5" s="202" t="s">
        <v>232</v>
      </c>
      <c r="P5" s="62" t="s">
        <v>226</v>
      </c>
      <c r="Q5" s="62" t="s">
        <v>227</v>
      </c>
      <c r="R5" s="60" t="s">
        <v>193</v>
      </c>
      <c r="S5" s="65"/>
      <c r="T5" s="202" t="s">
        <v>233</v>
      </c>
      <c r="U5" s="62" t="s">
        <v>228</v>
      </c>
      <c r="V5" s="62" t="s">
        <v>229</v>
      </c>
      <c r="W5" s="60" t="s">
        <v>230</v>
      </c>
    </row>
    <row r="6" spans="1:23" ht="24.75" customHeight="1">
      <c r="A6" s="17" t="s">
        <v>24</v>
      </c>
      <c r="B6" s="22">
        <v>142439</v>
      </c>
      <c r="C6" s="22"/>
      <c r="D6" s="22">
        <v>19403</v>
      </c>
      <c r="E6" s="22"/>
      <c r="F6" s="22"/>
      <c r="G6" s="22"/>
      <c r="H6" s="22">
        <v>161842</v>
      </c>
      <c r="I6" s="22">
        <v>0</v>
      </c>
      <c r="J6" s="22">
        <v>11920</v>
      </c>
      <c r="K6" s="22"/>
      <c r="L6" s="22"/>
      <c r="M6" s="22">
        <v>173761.93396538295</v>
      </c>
      <c r="N6" s="22">
        <v>0</v>
      </c>
      <c r="O6" s="22">
        <v>11397.130083329219</v>
      </c>
      <c r="P6" s="22"/>
      <c r="Q6" s="22"/>
      <c r="R6" s="22">
        <v>185159.06404871217</v>
      </c>
      <c r="S6" s="22">
        <v>0</v>
      </c>
      <c r="T6" s="22">
        <v>10468.775241442825</v>
      </c>
      <c r="U6" s="22"/>
      <c r="V6" s="22"/>
      <c r="W6" s="22">
        <v>195627.839290155</v>
      </c>
    </row>
    <row r="7" spans="1:23" ht="24.75" customHeight="1">
      <c r="A7" s="20" t="s">
        <v>25</v>
      </c>
      <c r="B7" s="24">
        <v>104</v>
      </c>
      <c r="C7" s="21"/>
      <c r="D7" s="22">
        <v>3</v>
      </c>
      <c r="E7" s="22"/>
      <c r="F7" s="22"/>
      <c r="G7" s="22"/>
      <c r="H7" s="22">
        <v>107</v>
      </c>
      <c r="I7" s="21"/>
      <c r="J7" s="22">
        <v>3.0865384615384617</v>
      </c>
      <c r="K7" s="22"/>
      <c r="L7" s="22"/>
      <c r="M7" s="23">
        <v>110.08653846153847</v>
      </c>
      <c r="N7" s="21"/>
      <c r="O7" s="22">
        <v>3.175573224852071</v>
      </c>
      <c r="P7" s="22"/>
      <c r="Q7" s="22"/>
      <c r="R7" s="22">
        <v>113.26211168639054</v>
      </c>
      <c r="S7" s="21"/>
      <c r="T7" s="22">
        <v>3.267176298645881</v>
      </c>
      <c r="U7" s="22"/>
      <c r="V7" s="22"/>
      <c r="W7" s="22">
        <v>116.52928798503642</v>
      </c>
    </row>
    <row r="8" spans="1:23" ht="24.75" customHeight="1">
      <c r="A8" s="20" t="s">
        <v>26</v>
      </c>
      <c r="B8" s="24">
        <v>134</v>
      </c>
      <c r="C8" s="21"/>
      <c r="D8" s="22">
        <v>71</v>
      </c>
      <c r="E8" s="22"/>
      <c r="F8" s="22"/>
      <c r="G8" s="22"/>
      <c r="H8" s="22">
        <v>205</v>
      </c>
      <c r="I8" s="21"/>
      <c r="J8" s="22">
        <v>6.119402985074626</v>
      </c>
      <c r="K8" s="22"/>
      <c r="L8" s="22"/>
      <c r="M8" s="23">
        <v>211.11940298507463</v>
      </c>
      <c r="N8" s="21"/>
      <c r="O8" s="22">
        <v>6.30207173089775</v>
      </c>
      <c r="P8" s="20"/>
      <c r="Q8" s="22"/>
      <c r="R8" s="22">
        <v>217.42147471597238</v>
      </c>
      <c r="S8" s="21"/>
      <c r="T8" s="22">
        <v>6.490193275103653</v>
      </c>
      <c r="U8" s="20"/>
      <c r="V8" s="22"/>
      <c r="W8" s="22">
        <v>223.91166799107603</v>
      </c>
    </row>
    <row r="9" spans="1:23" ht="24.75" customHeight="1">
      <c r="A9" s="20" t="s">
        <v>27</v>
      </c>
      <c r="B9" s="22">
        <v>3652</v>
      </c>
      <c r="C9" s="21"/>
      <c r="D9" s="22">
        <v>146</v>
      </c>
      <c r="E9" s="22"/>
      <c r="F9" s="22"/>
      <c r="G9" s="22"/>
      <c r="H9" s="22">
        <v>3798</v>
      </c>
      <c r="I9" s="21"/>
      <c r="J9" s="22">
        <v>151.8368017524644</v>
      </c>
      <c r="K9" s="22"/>
      <c r="L9" s="22"/>
      <c r="M9" s="23">
        <v>3949.8368017524645</v>
      </c>
      <c r="N9" s="21"/>
      <c r="O9" s="22">
        <v>157.90694771518613</v>
      </c>
      <c r="P9" s="20"/>
      <c r="Q9" s="22"/>
      <c r="R9" s="22">
        <v>4107.743749467651</v>
      </c>
      <c r="S9" s="21"/>
      <c r="T9" s="22">
        <v>164.21976654498275</v>
      </c>
      <c r="U9" s="20"/>
      <c r="V9" s="22"/>
      <c r="W9" s="22">
        <v>4271.963516012634</v>
      </c>
    </row>
    <row r="10" spans="1:23" ht="24.75" customHeight="1">
      <c r="A10" s="20" t="s">
        <v>28</v>
      </c>
      <c r="B10" s="22">
        <v>42</v>
      </c>
      <c r="C10" s="21"/>
      <c r="D10" s="22">
        <v>1</v>
      </c>
      <c r="E10" s="22"/>
      <c r="F10" s="22"/>
      <c r="G10" s="22"/>
      <c r="H10" s="22">
        <v>43</v>
      </c>
      <c r="I10" s="21"/>
      <c r="J10" s="22">
        <v>1.0238095238095237</v>
      </c>
      <c r="K10" s="22"/>
      <c r="L10" s="22"/>
      <c r="M10" s="23">
        <v>44.023809523809526</v>
      </c>
      <c r="N10" s="21"/>
      <c r="O10" s="22">
        <v>1.0481859410430838</v>
      </c>
      <c r="P10" s="20"/>
      <c r="Q10" s="22"/>
      <c r="R10" s="22">
        <v>45.07199546485261</v>
      </c>
      <c r="S10" s="21"/>
      <c r="T10" s="22">
        <v>1.0731427491631573</v>
      </c>
      <c r="U10" s="20"/>
      <c r="V10" s="22"/>
      <c r="W10" s="22">
        <v>46.14513821401577</v>
      </c>
    </row>
    <row r="11" spans="1:23" ht="24.75" customHeight="1">
      <c r="A11" s="20" t="s">
        <v>29</v>
      </c>
      <c r="B11" s="22">
        <v>1330</v>
      </c>
      <c r="C11" s="21"/>
      <c r="D11" s="22">
        <v>53</v>
      </c>
      <c r="E11" s="22"/>
      <c r="F11" s="22"/>
      <c r="G11" s="22"/>
      <c r="H11" s="22">
        <v>1383</v>
      </c>
      <c r="I11" s="21"/>
      <c r="J11" s="22">
        <v>55.112030075187974</v>
      </c>
      <c r="K11" s="22"/>
      <c r="L11" s="22"/>
      <c r="M11" s="23">
        <v>1438.112030075188</v>
      </c>
      <c r="N11" s="21"/>
      <c r="O11" s="22">
        <v>57.30822375487591</v>
      </c>
      <c r="P11" s="22"/>
      <c r="Q11" s="22"/>
      <c r="R11" s="22">
        <v>1495.4202538300638</v>
      </c>
      <c r="S11" s="21"/>
      <c r="T11" s="22">
        <v>59.591934927062695</v>
      </c>
      <c r="U11" s="22"/>
      <c r="V11" s="22"/>
      <c r="W11" s="22">
        <v>1555.0121887571265</v>
      </c>
    </row>
    <row r="12" spans="1:23" ht="24.75" customHeight="1">
      <c r="A12" s="20" t="s">
        <v>30</v>
      </c>
      <c r="B12" s="22">
        <v>-559</v>
      </c>
      <c r="C12" s="21"/>
      <c r="D12" s="22">
        <v>-14</v>
      </c>
      <c r="E12" s="22"/>
      <c r="F12" s="22"/>
      <c r="G12" s="22"/>
      <c r="H12" s="22">
        <v>-573</v>
      </c>
      <c r="I12" s="21"/>
      <c r="J12" s="22">
        <v>-14.350626118067979</v>
      </c>
      <c r="K12" s="22"/>
      <c r="L12" s="22"/>
      <c r="M12" s="23">
        <v>-587.350626118068</v>
      </c>
      <c r="N12" s="21"/>
      <c r="O12" s="22">
        <v>-14.71003357004106</v>
      </c>
      <c r="P12" s="22"/>
      <c r="Q12" s="22"/>
      <c r="R12" s="22">
        <v>-602.0606596881091</v>
      </c>
      <c r="S12" s="21"/>
      <c r="T12" s="22">
        <v>-15.078442281992</v>
      </c>
      <c r="U12" s="22"/>
      <c r="V12" s="22"/>
      <c r="W12" s="22">
        <v>-617.1391019701011</v>
      </c>
    </row>
    <row r="13" spans="1:23" ht="24.75" customHeight="1">
      <c r="A13" s="20" t="s">
        <v>31</v>
      </c>
      <c r="B13" s="36">
        <v>193</v>
      </c>
      <c r="C13" s="21"/>
      <c r="D13" s="22">
        <v>6</v>
      </c>
      <c r="E13" s="22"/>
      <c r="F13" s="22"/>
      <c r="G13" s="22"/>
      <c r="H13" s="22">
        <v>199</v>
      </c>
      <c r="I13" s="21"/>
      <c r="J13" s="22">
        <v>6.186528497409326</v>
      </c>
      <c r="K13" s="22"/>
      <c r="L13" s="22"/>
      <c r="M13" s="23">
        <v>205.1865284974093</v>
      </c>
      <c r="N13" s="21"/>
      <c r="O13" s="22">
        <v>6.378855808209615</v>
      </c>
      <c r="P13" s="20"/>
      <c r="Q13" s="22"/>
      <c r="R13" s="22">
        <v>211.56538430561892</v>
      </c>
      <c r="S13" s="21"/>
      <c r="T13" s="22">
        <v>6.577162206392298</v>
      </c>
      <c r="U13" s="20"/>
      <c r="V13" s="22"/>
      <c r="W13" s="22">
        <v>218.14254651201122</v>
      </c>
    </row>
    <row r="14" spans="1:23" ht="24.75" customHeight="1">
      <c r="A14" s="37" t="s">
        <v>32</v>
      </c>
      <c r="B14" s="22">
        <v>1751</v>
      </c>
      <c r="C14" s="21"/>
      <c r="D14" s="22">
        <v>53</v>
      </c>
      <c r="E14" s="22"/>
      <c r="F14" s="22"/>
      <c r="G14" s="22"/>
      <c r="H14" s="22">
        <v>1804</v>
      </c>
      <c r="I14" s="21"/>
      <c r="J14" s="22">
        <v>54.60422615648201</v>
      </c>
      <c r="K14" s="22"/>
      <c r="L14" s="22"/>
      <c r="M14" s="23">
        <v>1858.604226156482</v>
      </c>
      <c r="N14" s="21"/>
      <c r="O14" s="22">
        <v>56.257009700910075</v>
      </c>
      <c r="P14" s="22"/>
      <c r="Q14" s="22"/>
      <c r="R14" s="22">
        <v>1914.8612358573919</v>
      </c>
      <c r="S14" s="21"/>
      <c r="T14" s="22">
        <v>57.959820388601806</v>
      </c>
      <c r="U14" s="22"/>
      <c r="V14" s="22"/>
      <c r="W14" s="22">
        <v>1972.8210562459938</v>
      </c>
    </row>
    <row r="15" spans="1:23" ht="24.75" customHeight="1">
      <c r="A15" s="20" t="s">
        <v>33</v>
      </c>
      <c r="B15" s="22">
        <v>562</v>
      </c>
      <c r="C15" s="21"/>
      <c r="D15" s="22">
        <v>131</v>
      </c>
      <c r="E15" s="22"/>
      <c r="F15" s="22"/>
      <c r="G15" s="22"/>
      <c r="H15" s="22">
        <v>693</v>
      </c>
      <c r="I15" s="21"/>
      <c r="J15" s="22">
        <v>18.49644128113879</v>
      </c>
      <c r="K15" s="22"/>
      <c r="L15" s="22"/>
      <c r="M15" s="23">
        <v>711.4964412811388</v>
      </c>
      <c r="N15" s="21"/>
      <c r="O15" s="22">
        <v>18.990118539532176</v>
      </c>
      <c r="P15" s="22"/>
      <c r="Q15" s="22"/>
      <c r="R15" s="22">
        <v>730.486559820671</v>
      </c>
      <c r="S15" s="21"/>
      <c r="T15" s="22">
        <v>19.49697223720652</v>
      </c>
      <c r="U15" s="22"/>
      <c r="V15" s="22"/>
      <c r="W15" s="22">
        <v>749.9835320578775</v>
      </c>
    </row>
    <row r="16" spans="1:23" ht="24.75" customHeight="1">
      <c r="A16" s="38" t="s">
        <v>34</v>
      </c>
      <c r="B16" s="22">
        <v>52</v>
      </c>
      <c r="C16" s="21"/>
      <c r="D16" s="22">
        <v>2</v>
      </c>
      <c r="E16" s="22"/>
      <c r="F16" s="22"/>
      <c r="G16" s="22"/>
      <c r="H16" s="22">
        <v>54</v>
      </c>
      <c r="I16" s="21"/>
      <c r="J16" s="22">
        <v>2.076923076923077</v>
      </c>
      <c r="K16" s="22"/>
      <c r="L16" s="22"/>
      <c r="M16" s="23">
        <v>56.07692307692308</v>
      </c>
      <c r="N16" s="21"/>
      <c r="O16" s="22">
        <v>2.156804733727811</v>
      </c>
      <c r="P16" s="22"/>
      <c r="Q16" s="22"/>
      <c r="R16" s="22">
        <v>58.23372781065089</v>
      </c>
      <c r="S16" s="21"/>
      <c r="T16" s="22">
        <v>2.2397587619481114</v>
      </c>
      <c r="U16" s="22"/>
      <c r="V16" s="22"/>
      <c r="W16" s="22">
        <v>60.473486572599</v>
      </c>
    </row>
    <row r="17" spans="1:23" ht="24.75" customHeight="1">
      <c r="A17" s="20"/>
      <c r="B17" s="36"/>
      <c r="C17" s="21"/>
      <c r="D17" s="22"/>
      <c r="E17" s="22"/>
      <c r="F17" s="22"/>
      <c r="G17" s="22"/>
      <c r="H17" s="22"/>
      <c r="I17" s="21"/>
      <c r="J17" s="22"/>
      <c r="K17" s="22"/>
      <c r="L17" s="22"/>
      <c r="M17" s="23"/>
      <c r="N17" s="21"/>
      <c r="O17" s="22"/>
      <c r="P17" s="20"/>
      <c r="Q17" s="22"/>
      <c r="R17" s="22">
        <v>0</v>
      </c>
      <c r="S17" s="21"/>
      <c r="T17" s="22"/>
      <c r="U17" s="20"/>
      <c r="V17" s="22"/>
      <c r="W17" s="22">
        <v>0</v>
      </c>
    </row>
    <row r="18" spans="1:23" s="35" customFormat="1" ht="24.75" customHeight="1">
      <c r="A18" s="39" t="s">
        <v>36</v>
      </c>
      <c r="B18" s="40">
        <v>-18737</v>
      </c>
      <c r="C18" s="41"/>
      <c r="D18" s="22">
        <v>-9047</v>
      </c>
      <c r="E18" s="40"/>
      <c r="F18" s="40"/>
      <c r="G18" s="40"/>
      <c r="H18" s="40">
        <v>-27784</v>
      </c>
      <c r="I18" s="41"/>
      <c r="J18" s="40">
        <v>-1111.36</v>
      </c>
      <c r="K18" s="40"/>
      <c r="L18" s="40"/>
      <c r="M18" s="42">
        <v>-28895.36</v>
      </c>
      <c r="N18" s="41"/>
      <c r="O18" s="40">
        <v>-1155.8144</v>
      </c>
      <c r="P18" s="40"/>
      <c r="Q18" s="40"/>
      <c r="R18" s="40">
        <v>-30051.1744</v>
      </c>
      <c r="S18" s="41"/>
      <c r="T18" s="40">
        <v>-1202.046976</v>
      </c>
      <c r="U18" s="40"/>
      <c r="V18" s="40"/>
      <c r="W18" s="40">
        <v>-31253.221376</v>
      </c>
    </row>
    <row r="19" spans="1:23" ht="24.75" customHeight="1">
      <c r="A19" s="17" t="s">
        <v>37</v>
      </c>
      <c r="B19" s="40">
        <v>130963</v>
      </c>
      <c r="C19" s="40">
        <v>0</v>
      </c>
      <c r="D19" s="40">
        <v>10808</v>
      </c>
      <c r="E19" s="40"/>
      <c r="F19" s="40"/>
      <c r="G19" s="40"/>
      <c r="H19" s="40">
        <v>141771</v>
      </c>
      <c r="I19" s="40">
        <v>0</v>
      </c>
      <c r="J19" s="40">
        <f>SUM(J6:J18)</f>
        <v>11092.83207569196</v>
      </c>
      <c r="K19" s="40"/>
      <c r="L19" s="40"/>
      <c r="M19" s="40">
        <v>152863.76604107494</v>
      </c>
      <c r="N19" s="40">
        <v>0</v>
      </c>
      <c r="O19" s="40">
        <f>SUM(O6:O18)</f>
        <v>10536.12944090841</v>
      </c>
      <c r="P19" s="40"/>
      <c r="Q19" s="40"/>
      <c r="R19" s="40">
        <v>163399.89548198335</v>
      </c>
      <c r="S19" s="40">
        <v>0</v>
      </c>
      <c r="T19" s="40">
        <f>SUM(T6:T18)</f>
        <v>9572.56575054994</v>
      </c>
      <c r="U19" s="40"/>
      <c r="V19" s="40"/>
      <c r="W19" s="40">
        <v>172972.46123253327</v>
      </c>
    </row>
    <row r="20" spans="1:23" s="30" customFormat="1" ht="12.75" customHeight="1">
      <c r="A20" s="31"/>
      <c r="B20" s="32"/>
      <c r="C20" s="32"/>
      <c r="D20" s="32"/>
      <c r="E20" s="33"/>
      <c r="F20" s="33"/>
      <c r="G20" s="33"/>
      <c r="H20" s="34"/>
      <c r="I20" s="32"/>
      <c r="J20" s="33"/>
      <c r="K20" s="33"/>
      <c r="L20" s="33"/>
      <c r="M20" s="33"/>
      <c r="N20" s="33"/>
      <c r="O20" s="32"/>
      <c r="P20" s="32"/>
      <c r="Q20" s="32"/>
      <c r="R20" s="32"/>
      <c r="S20" s="12"/>
      <c r="T20" s="12"/>
      <c r="U20" s="12"/>
      <c r="V20" s="12"/>
      <c r="W20" s="12"/>
    </row>
    <row r="21" spans="1:23" ht="12.75">
      <c r="A21" s="35"/>
      <c r="S21" s="16"/>
      <c r="T21" s="16"/>
      <c r="U21" s="16"/>
      <c r="V21" s="16"/>
      <c r="W21" s="16"/>
    </row>
    <row r="22" ht="12.75">
      <c r="A22" s="35"/>
    </row>
    <row r="23" ht="12.75">
      <c r="A23" s="35"/>
    </row>
    <row r="24" ht="12.75">
      <c r="A24" s="35"/>
    </row>
    <row r="25" ht="12.75">
      <c r="A25" s="35"/>
    </row>
    <row r="26" ht="12.75">
      <c r="A26" s="35"/>
    </row>
    <row r="36" spans="19:23" ht="12.75">
      <c r="S36" s="30"/>
      <c r="T36" s="30"/>
      <c r="U36" s="30"/>
      <c r="V36" s="30"/>
      <c r="W36" s="30"/>
    </row>
    <row r="37" spans="19:23" ht="12.75">
      <c r="S37" s="30"/>
      <c r="T37" s="30"/>
      <c r="U37" s="30"/>
      <c r="V37" s="30"/>
      <c r="W37" s="30"/>
    </row>
  </sheetData>
  <mergeCells count="3">
    <mergeCell ref="J4:M4"/>
    <mergeCell ref="A2:W2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3" r:id="rId2"/>
  <headerFooter alignWithMargins="0">
    <oddHeader>&amp;R&amp;"Arial,Bold"&amp;8APPENDIX C</oddHeader>
    <oddFooter>&amp;L&amp;F\&amp;A&amp;R&amp;9 94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workbookViewId="0" topLeftCell="I5">
      <selection activeCell="V10" sqref="V10"/>
    </sheetView>
  </sheetViews>
  <sheetFormatPr defaultColWidth="9.140625" defaultRowHeight="12.75"/>
  <cols>
    <col min="1" max="1" width="27.8515625" style="0" customWidth="1"/>
    <col min="2" max="2" width="10.7109375" style="2" customWidth="1"/>
    <col min="3" max="3" width="0.71875" style="0" customWidth="1"/>
    <col min="4" max="4" width="11.28125" style="0" customWidth="1"/>
    <col min="5" max="6" width="10.7109375" style="0" customWidth="1"/>
    <col min="7" max="8" width="10.7109375" style="2" customWidth="1"/>
    <col min="9" max="9" width="0.71875" style="0" customWidth="1"/>
    <col min="10" max="13" width="10.7109375" style="2" customWidth="1"/>
    <col min="14" max="14" width="0.71875" style="2" customWidth="1"/>
    <col min="15" max="15" width="11.140625" style="0" customWidth="1"/>
    <col min="16" max="16" width="10.8515625" style="0" customWidth="1"/>
    <col min="17" max="18" width="10.57421875" style="0" customWidth="1"/>
    <col min="19" max="19" width="0.85546875" style="0" customWidth="1"/>
    <col min="21" max="21" width="10.8515625" style="0" customWidth="1"/>
    <col min="22" max="22" width="10.57421875" style="0" customWidth="1"/>
    <col min="23" max="23" width="10.140625" style="0" customWidth="1"/>
  </cols>
  <sheetData>
    <row r="1" spans="1:23" ht="15.75">
      <c r="A1" s="1" t="s">
        <v>235</v>
      </c>
      <c r="Q1" s="1"/>
      <c r="W1" s="3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1</v>
      </c>
      <c r="C4" s="6"/>
      <c r="D4" s="253" t="s">
        <v>2</v>
      </c>
      <c r="E4" s="254"/>
      <c r="F4" s="254"/>
      <c r="G4" s="254"/>
      <c r="H4" s="255"/>
      <c r="I4" s="9"/>
      <c r="J4" s="250" t="s">
        <v>3</v>
      </c>
      <c r="K4" s="251"/>
      <c r="L4" s="251"/>
      <c r="M4" s="252"/>
      <c r="N4" s="10"/>
      <c r="O4" s="7" t="s">
        <v>4</v>
      </c>
      <c r="P4" s="7"/>
      <c r="Q4" s="7"/>
      <c r="R4" s="8"/>
      <c r="S4" s="10"/>
      <c r="T4" s="7" t="s">
        <v>5</v>
      </c>
      <c r="U4" s="7"/>
      <c r="V4" s="7"/>
      <c r="W4" s="8"/>
    </row>
    <row r="5" spans="1:23" s="16" customFormat="1" ht="66" customHeight="1">
      <c r="A5" s="13" t="s">
        <v>6</v>
      </c>
      <c r="B5" s="60" t="s">
        <v>7</v>
      </c>
      <c r="C5" s="61"/>
      <c r="D5" s="62" t="s">
        <v>218</v>
      </c>
      <c r="E5" s="62" t="s">
        <v>220</v>
      </c>
      <c r="F5" s="62" t="s">
        <v>221</v>
      </c>
      <c r="G5" s="62" t="s">
        <v>222</v>
      </c>
      <c r="H5" s="60" t="s">
        <v>223</v>
      </c>
      <c r="I5" s="63"/>
      <c r="J5" s="62" t="s">
        <v>231</v>
      </c>
      <c r="K5" s="62" t="s">
        <v>224</v>
      </c>
      <c r="L5" s="62" t="s">
        <v>225</v>
      </c>
      <c r="M5" s="64" t="s">
        <v>190</v>
      </c>
      <c r="N5" s="65"/>
      <c r="O5" s="202" t="s">
        <v>232</v>
      </c>
      <c r="P5" s="62" t="s">
        <v>226</v>
      </c>
      <c r="Q5" s="62" t="s">
        <v>227</v>
      </c>
      <c r="R5" s="60" t="s">
        <v>193</v>
      </c>
      <c r="S5" s="65"/>
      <c r="T5" s="202" t="s">
        <v>233</v>
      </c>
      <c r="U5" s="62" t="s">
        <v>228</v>
      </c>
      <c r="V5" s="62" t="s">
        <v>229</v>
      </c>
      <c r="W5" s="60" t="s">
        <v>230</v>
      </c>
    </row>
    <row r="6" spans="1:23" ht="24.75" customHeight="1">
      <c r="A6" s="17" t="s">
        <v>38</v>
      </c>
      <c r="B6" s="22"/>
      <c r="C6" s="21"/>
      <c r="D6" s="22"/>
      <c r="E6" s="22"/>
      <c r="F6" s="22"/>
      <c r="G6" s="22"/>
      <c r="H6" s="22"/>
      <c r="I6" s="21"/>
      <c r="J6" s="22"/>
      <c r="K6" s="22"/>
      <c r="L6" s="22"/>
      <c r="M6" s="23"/>
      <c r="N6" s="21"/>
      <c r="O6" s="24"/>
      <c r="P6" s="22"/>
      <c r="Q6" s="22"/>
      <c r="R6" s="22"/>
      <c r="S6" s="21"/>
      <c r="T6" s="24"/>
      <c r="U6" s="22"/>
      <c r="V6" s="22"/>
      <c r="W6" s="22"/>
    </row>
    <row r="7" spans="1:23" ht="24.75" customHeight="1">
      <c r="A7" s="17" t="s">
        <v>39</v>
      </c>
      <c r="B7" s="22"/>
      <c r="C7" s="21"/>
      <c r="D7" s="22"/>
      <c r="E7" s="22"/>
      <c r="F7" s="22"/>
      <c r="G7" s="22"/>
      <c r="H7" s="22"/>
      <c r="I7" s="21"/>
      <c r="J7" s="22"/>
      <c r="K7" s="22"/>
      <c r="L7" s="22"/>
      <c r="M7" s="23"/>
      <c r="N7" s="21"/>
      <c r="O7" s="24"/>
      <c r="P7" s="22"/>
      <c r="Q7" s="22"/>
      <c r="R7" s="22"/>
      <c r="S7" s="21"/>
      <c r="T7" s="24"/>
      <c r="U7" s="22"/>
      <c r="V7" s="22"/>
      <c r="W7" s="22"/>
    </row>
    <row r="8" spans="1:23" s="35" customFormat="1" ht="24.75" customHeight="1">
      <c r="A8" s="20" t="s">
        <v>40</v>
      </c>
      <c r="B8" s="22">
        <v>2024</v>
      </c>
      <c r="C8" s="21"/>
      <c r="D8" s="22">
        <v>30</v>
      </c>
      <c r="E8" s="22">
        <f>100-100+100+30+25-50</f>
        <v>105</v>
      </c>
      <c r="F8" s="22">
        <f>-20-5-52-50-10+50</f>
        <v>-87</v>
      </c>
      <c r="G8" s="22">
        <f>54</f>
        <v>54</v>
      </c>
      <c r="H8" s="22">
        <f>SUM(B8:G8)</f>
        <v>2126</v>
      </c>
      <c r="I8" s="21"/>
      <c r="J8" s="22">
        <v>31</v>
      </c>
      <c r="K8" s="22">
        <v>-20</v>
      </c>
      <c r="L8" s="22">
        <f>(H8+J8+K8)*(G8/B8)+22-16+1</f>
        <v>64.01482213438734</v>
      </c>
      <c r="M8" s="23">
        <f>SUM(H8:L8)</f>
        <v>2201.0148221343875</v>
      </c>
      <c r="N8" s="21"/>
      <c r="O8" s="24">
        <v>34</v>
      </c>
      <c r="P8" s="22"/>
      <c r="Q8" s="22">
        <f>(M8+O8+P8)*(G8/B8)+22+21-16+2-3</f>
        <v>85.62984209251823</v>
      </c>
      <c r="R8" s="22">
        <f>SUM(M8:Q8)</f>
        <v>2320.6446642269057</v>
      </c>
      <c r="S8" s="21"/>
      <c r="T8" s="24">
        <f>35-0.5</f>
        <v>34.5</v>
      </c>
      <c r="U8" s="22"/>
      <c r="V8" s="22">
        <f>(R8+T8+U8)*(G8/B8)+43-16+4-0.5</f>
        <v>93.33488728668621</v>
      </c>
      <c r="W8" s="22">
        <f>SUM(R8:V8)</f>
        <v>2448.479551513592</v>
      </c>
    </row>
    <row r="9" spans="1:23" ht="24.75" customHeight="1">
      <c r="A9" s="20" t="s">
        <v>41</v>
      </c>
      <c r="B9" s="22">
        <v>292</v>
      </c>
      <c r="C9" s="21"/>
      <c r="D9" s="22"/>
      <c r="E9" s="22"/>
      <c r="F9" s="22"/>
      <c r="G9" s="22">
        <v>9</v>
      </c>
      <c r="H9" s="22">
        <f>SUM(B9:G9)</f>
        <v>301</v>
      </c>
      <c r="I9" s="41"/>
      <c r="J9" s="40"/>
      <c r="K9" s="40"/>
      <c r="L9" s="22">
        <f>(H9+J9+K9)*(G9/B9)</f>
        <v>9.277397260273972</v>
      </c>
      <c r="M9" s="23">
        <f>SUM(H9:L9)</f>
        <v>310.277397260274</v>
      </c>
      <c r="N9" s="41"/>
      <c r="O9" s="40"/>
      <c r="P9" s="40"/>
      <c r="Q9" s="22">
        <f>(M9+O9+P9)*(G9/B9)</f>
        <v>9.563344436104334</v>
      </c>
      <c r="R9" s="22">
        <f>SUM(M9:Q9)</f>
        <v>319.8407416963783</v>
      </c>
      <c r="S9" s="41"/>
      <c r="T9" s="40"/>
      <c r="U9" s="40"/>
      <c r="V9" s="22">
        <f>(R9+T9+U9)*(G9/B9)</f>
        <v>9.858105052285632</v>
      </c>
      <c r="W9" s="22">
        <f>SUM(R9:V9)</f>
        <v>329.6988467486639</v>
      </c>
    </row>
    <row r="10" spans="1:23" s="35" customFormat="1" ht="24.75" customHeight="1">
      <c r="A10" s="20" t="s">
        <v>42</v>
      </c>
      <c r="B10" s="22">
        <v>152</v>
      </c>
      <c r="C10" s="21"/>
      <c r="D10" s="22"/>
      <c r="E10" s="22"/>
      <c r="F10" s="22"/>
      <c r="G10" s="22">
        <v>4</v>
      </c>
      <c r="H10" s="22">
        <f>SUM(B10:G10)</f>
        <v>156</v>
      </c>
      <c r="I10" s="21"/>
      <c r="J10" s="22"/>
      <c r="K10" s="22"/>
      <c r="L10" s="22">
        <f>(H10+J10+K10)*(G10/B10)</f>
        <v>4.105263157894736</v>
      </c>
      <c r="M10" s="23">
        <f>SUM(H10:L10)</f>
        <v>160.10526315789474</v>
      </c>
      <c r="N10" s="21"/>
      <c r="O10" s="24"/>
      <c r="P10" s="22"/>
      <c r="Q10" s="22">
        <f>(M10+O10+P10)*(G10/B10)</f>
        <v>4.213296398891966</v>
      </c>
      <c r="R10" s="22">
        <f>SUM(M10:Q10)</f>
        <v>164.3185595567867</v>
      </c>
      <c r="S10" s="21"/>
      <c r="T10" s="24"/>
      <c r="U10" s="22"/>
      <c r="V10" s="22">
        <f>(R10+T10+U10)*(G10/B10)-0.5</f>
        <v>3.8241726199154398</v>
      </c>
      <c r="W10" s="22">
        <f>SUM(R10:V10)</f>
        <v>168.14273217670214</v>
      </c>
    </row>
    <row r="11" spans="1:23" ht="24.75" customHeight="1">
      <c r="A11" s="20" t="s">
        <v>43</v>
      </c>
      <c r="B11" s="22">
        <v>22</v>
      </c>
      <c r="C11" s="21"/>
      <c r="D11" s="22"/>
      <c r="E11" s="22"/>
      <c r="F11" s="22"/>
      <c r="G11" s="22">
        <v>1</v>
      </c>
      <c r="H11" s="22">
        <f>SUM(B11:G11)</f>
        <v>23</v>
      </c>
      <c r="I11" s="41"/>
      <c r="J11" s="40"/>
      <c r="K11" s="40"/>
      <c r="L11" s="22">
        <f>(H11+J11+K11)*(G11/B11)</f>
        <v>1.0454545454545454</v>
      </c>
      <c r="M11" s="23">
        <f>SUM(H11:L11)</f>
        <v>24.045454545454547</v>
      </c>
      <c r="N11" s="41"/>
      <c r="O11" s="43"/>
      <c r="P11" s="40"/>
      <c r="Q11" s="22">
        <f>(M11+O11+P11)*(G11/B11)</f>
        <v>1.0929752066115703</v>
      </c>
      <c r="R11" s="22">
        <f>SUM(M11:Q11)</f>
        <v>25.138429752066116</v>
      </c>
      <c r="S11" s="41"/>
      <c r="T11" s="43"/>
      <c r="U11" s="40"/>
      <c r="V11" s="22">
        <f>(R11+T11+U11)*(G11/B11)</f>
        <v>1.1426558978211871</v>
      </c>
      <c r="W11" s="22">
        <f>SUM(R11:V11)</f>
        <v>26.281085649887302</v>
      </c>
    </row>
    <row r="12" spans="1:23" ht="24.75" customHeight="1">
      <c r="A12" s="44" t="s">
        <v>44</v>
      </c>
      <c r="B12" s="45"/>
      <c r="C12" s="21"/>
      <c r="D12" s="45"/>
      <c r="E12" s="45"/>
      <c r="F12" s="45"/>
      <c r="G12" s="45"/>
      <c r="H12" s="22"/>
      <c r="I12" s="41"/>
      <c r="J12" s="40"/>
      <c r="K12" s="40"/>
      <c r="L12" s="22"/>
      <c r="M12" s="23"/>
      <c r="N12" s="41"/>
      <c r="O12" s="43"/>
      <c r="P12" s="40"/>
      <c r="Q12" s="22"/>
      <c r="R12" s="22"/>
      <c r="S12" s="41"/>
      <c r="T12" s="43"/>
      <c r="U12" s="40"/>
      <c r="V12" s="22"/>
      <c r="W12" s="22"/>
    </row>
    <row r="13" spans="1:23" ht="24.75" customHeight="1">
      <c r="A13" s="20" t="s">
        <v>45</v>
      </c>
      <c r="B13" s="22">
        <v>2803</v>
      </c>
      <c r="C13" s="21"/>
      <c r="D13" s="22"/>
      <c r="E13" s="22"/>
      <c r="F13" s="22">
        <f>-904-266+1170-500</f>
        <v>-500</v>
      </c>
      <c r="G13" s="22">
        <v>72</v>
      </c>
      <c r="H13" s="22">
        <f>SUM(B13:G13)</f>
        <v>2375</v>
      </c>
      <c r="I13" s="21"/>
      <c r="J13" s="22"/>
      <c r="K13" s="22"/>
      <c r="L13" s="22">
        <f>(H13+J13+K13)*(G13/B13)</f>
        <v>61.006064930431684</v>
      </c>
      <c r="M13" s="23">
        <f>SUM(H13:L13)</f>
        <v>2436.006064930432</v>
      </c>
      <c r="N13" s="21"/>
      <c r="O13" s="24"/>
      <c r="P13" s="22"/>
      <c r="Q13" s="22">
        <f>(M13+O13+P13)*(G13/B13)</f>
        <v>62.57311333392476</v>
      </c>
      <c r="R13" s="22">
        <f>SUM(M13:Q13)</f>
        <v>2498.5791782643564</v>
      </c>
      <c r="S13" s="21"/>
      <c r="T13" s="24"/>
      <c r="U13" s="22"/>
      <c r="V13" s="22">
        <f>(R13+T13+U13)*(G13/B13)</f>
        <v>64.18041414021893</v>
      </c>
      <c r="W13" s="22">
        <f>SUM(R13:V13)</f>
        <v>2562.7595924045754</v>
      </c>
    </row>
    <row r="14" spans="1:23" ht="24.75" customHeight="1">
      <c r="A14" s="20" t="s">
        <v>46</v>
      </c>
      <c r="B14" s="22">
        <v>-1833</v>
      </c>
      <c r="C14" s="21"/>
      <c r="D14" s="22"/>
      <c r="E14" s="22"/>
      <c r="F14" s="22">
        <f>452+133-585+250</f>
        <v>250</v>
      </c>
      <c r="G14" s="22">
        <v>-47</v>
      </c>
      <c r="H14" s="22">
        <f>SUM(B14:G14)</f>
        <v>-1630</v>
      </c>
      <c r="I14" s="21"/>
      <c r="J14" s="22"/>
      <c r="K14" s="22"/>
      <c r="L14" s="22">
        <f>(H14+J14+K14)*(G14/B14)</f>
        <v>-41.794871794871796</v>
      </c>
      <c r="M14" s="23">
        <f>SUM(H14:L14)</f>
        <v>-1671.7948717948718</v>
      </c>
      <c r="N14" s="21"/>
      <c r="O14" s="24"/>
      <c r="P14" s="22"/>
      <c r="Q14" s="22">
        <f>(M14+O14+P14)*(G14/B14)</f>
        <v>-42.86653517422748</v>
      </c>
      <c r="R14" s="22">
        <f>SUM(M14:Q14)</f>
        <v>-1714.6614069690993</v>
      </c>
      <c r="S14" s="21"/>
      <c r="T14" s="24"/>
      <c r="U14" s="22"/>
      <c r="V14" s="22">
        <f>(R14+T14+U14)*(G14/B14)</f>
        <v>-43.965677101771774</v>
      </c>
      <c r="W14" s="22">
        <f>SUM(R14:V14)</f>
        <v>-1758.627084070871</v>
      </c>
    </row>
    <row r="15" spans="1:23" ht="24.75" customHeight="1">
      <c r="A15" s="17" t="s">
        <v>47</v>
      </c>
      <c r="B15" s="22"/>
      <c r="C15" s="21"/>
      <c r="D15" s="22"/>
      <c r="E15" s="22"/>
      <c r="F15" s="22"/>
      <c r="G15" s="22"/>
      <c r="H15" s="22"/>
      <c r="I15" s="21"/>
      <c r="J15" s="22"/>
      <c r="K15" s="22"/>
      <c r="L15" s="22"/>
      <c r="M15" s="23"/>
      <c r="N15" s="21"/>
      <c r="O15" s="26"/>
      <c r="P15" s="20"/>
      <c r="Q15" s="22"/>
      <c r="R15" s="22"/>
      <c r="S15" s="21"/>
      <c r="T15" s="26"/>
      <c r="U15" s="20"/>
      <c r="V15" s="22"/>
      <c r="W15" s="22"/>
    </row>
    <row r="16" spans="1:23" ht="24.75" customHeight="1">
      <c r="A16" s="46" t="s">
        <v>47</v>
      </c>
      <c r="B16" s="22">
        <v>1001</v>
      </c>
      <c r="C16" s="21"/>
      <c r="D16" s="22">
        <v>12</v>
      </c>
      <c r="E16" s="22">
        <f>80-10+50</f>
        <v>120</v>
      </c>
      <c r="F16" s="22">
        <f>-50-30</f>
        <v>-80</v>
      </c>
      <c r="G16" s="22">
        <v>26</v>
      </c>
      <c r="H16" s="22">
        <f>SUM(B16:G16)</f>
        <v>1079</v>
      </c>
      <c r="I16" s="21"/>
      <c r="J16" s="22">
        <f>-25+13</f>
        <v>-12</v>
      </c>
      <c r="K16" s="22"/>
      <c r="L16" s="22">
        <f>(H16+J16+K16)*(G16/B16)-1</f>
        <v>26.714285714285715</v>
      </c>
      <c r="M16" s="23">
        <f>SUM(H16:L16)</f>
        <v>1093.7142857142858</v>
      </c>
      <c r="N16" s="21"/>
      <c r="O16" s="26">
        <v>13</v>
      </c>
      <c r="P16" s="20"/>
      <c r="Q16" s="22">
        <f>(M16+O16+P16)*(G16/B16)</f>
        <v>28.745825602968463</v>
      </c>
      <c r="R16" s="22">
        <f>SUM(M16:Q16)</f>
        <v>1135.4601113172541</v>
      </c>
      <c r="S16" s="21"/>
      <c r="T16" s="26">
        <v>14</v>
      </c>
      <c r="U16" s="20"/>
      <c r="V16" s="22">
        <f>(R16+T16+U16)*(G16/B16)</f>
        <v>29.856106787461147</v>
      </c>
      <c r="W16" s="22">
        <f>SUM(R16:V16)</f>
        <v>1179.3162181047153</v>
      </c>
    </row>
    <row r="17" spans="1:23" s="30" customFormat="1" ht="34.5" customHeight="1">
      <c r="A17" s="47" t="s">
        <v>48</v>
      </c>
      <c r="B17" s="48">
        <f aca="true" t="shared" si="0" ref="B17:V17">SUM(B8:B16)</f>
        <v>4461</v>
      </c>
      <c r="C17" s="48">
        <f t="shared" si="0"/>
        <v>0</v>
      </c>
      <c r="D17" s="48">
        <f t="shared" si="0"/>
        <v>42</v>
      </c>
      <c r="E17" s="48">
        <f t="shared" si="0"/>
        <v>225</v>
      </c>
      <c r="F17" s="48">
        <f t="shared" si="0"/>
        <v>-417</v>
      </c>
      <c r="G17" s="48">
        <f t="shared" si="0"/>
        <v>119</v>
      </c>
      <c r="H17" s="48">
        <f t="shared" si="0"/>
        <v>4430</v>
      </c>
      <c r="I17" s="48">
        <f t="shared" si="0"/>
        <v>0</v>
      </c>
      <c r="J17" s="48">
        <f t="shared" si="0"/>
        <v>19</v>
      </c>
      <c r="K17" s="48">
        <f t="shared" si="0"/>
        <v>-20</v>
      </c>
      <c r="L17" s="48">
        <f t="shared" si="0"/>
        <v>124.36841594785622</v>
      </c>
      <c r="M17" s="48">
        <f t="shared" si="0"/>
        <v>4553.368415947856</v>
      </c>
      <c r="N17" s="48">
        <f t="shared" si="0"/>
        <v>0</v>
      </c>
      <c r="O17" s="48">
        <f t="shared" si="0"/>
        <v>47</v>
      </c>
      <c r="P17" s="48">
        <f t="shared" si="0"/>
        <v>0</v>
      </c>
      <c r="Q17" s="48">
        <f t="shared" si="0"/>
        <v>148.95186189679183</v>
      </c>
      <c r="R17" s="48">
        <f t="shared" si="0"/>
        <v>4749.3202778446475</v>
      </c>
      <c r="S17" s="48">
        <f t="shared" si="0"/>
        <v>0</v>
      </c>
      <c r="T17" s="48">
        <f t="shared" si="0"/>
        <v>48.5</v>
      </c>
      <c r="U17" s="48">
        <f t="shared" si="0"/>
        <v>0</v>
      </c>
      <c r="V17" s="48">
        <f t="shared" si="0"/>
        <v>158.23066468261678</v>
      </c>
      <c r="W17" s="48">
        <f>SUM(W8:W16)-1</f>
        <v>4955.050942527265</v>
      </c>
    </row>
    <row r="18" spans="1:23" s="30" customFormat="1" ht="12.75" customHeight="1">
      <c r="A18" s="31"/>
      <c r="B18" s="32"/>
      <c r="C18" s="32"/>
      <c r="D18" s="32"/>
      <c r="E18" s="33"/>
      <c r="F18" s="33"/>
      <c r="G18" s="33"/>
      <c r="H18" s="34"/>
      <c r="I18" s="32"/>
      <c r="J18" s="33"/>
      <c r="K18" s="33"/>
      <c r="L18" s="33"/>
      <c r="M18" s="33"/>
      <c r="N18" s="33"/>
      <c r="O18" s="32"/>
      <c r="P18" s="32"/>
      <c r="Q18" s="32"/>
      <c r="R18" s="32"/>
      <c r="S18" s="12"/>
      <c r="T18" s="12"/>
      <c r="U18" s="12"/>
      <c r="V18" s="12"/>
      <c r="W18" s="12"/>
    </row>
    <row r="19" spans="1:23" ht="12.75">
      <c r="A19" s="35"/>
      <c r="S19" s="16"/>
      <c r="T19" s="16"/>
      <c r="U19" s="16"/>
      <c r="V19" s="16"/>
      <c r="W19" s="16"/>
    </row>
    <row r="20" ht="12.75">
      <c r="A20" s="35"/>
    </row>
    <row r="21" ht="12.75">
      <c r="A21" s="35"/>
    </row>
    <row r="22" ht="12.75">
      <c r="A22" s="35"/>
    </row>
    <row r="23" ht="12.75">
      <c r="A23" s="35"/>
    </row>
    <row r="24" ht="12.75">
      <c r="A24" s="35"/>
    </row>
    <row r="34" spans="19:23" ht="12.75">
      <c r="S34" s="30"/>
      <c r="T34" s="30"/>
      <c r="U34" s="30"/>
      <c r="V34" s="30"/>
      <c r="W34" s="30"/>
    </row>
    <row r="35" spans="19:23" ht="12.75">
      <c r="S35" s="30"/>
      <c r="T35" s="30"/>
      <c r="U35" s="30"/>
      <c r="V35" s="30"/>
      <c r="W35" s="30"/>
    </row>
  </sheetData>
  <mergeCells count="3">
    <mergeCell ref="J4:M4"/>
    <mergeCell ref="A2:W2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4" r:id="rId2"/>
  <headerFooter alignWithMargins="0">
    <oddHeader>&amp;R&amp;"Arial,Bold"&amp;8APPENDIX C</oddHeader>
    <oddFooter>&amp;L&amp;F\&amp;A&amp;R&amp;9 95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workbookViewId="0" topLeftCell="I19">
      <selection activeCell="W21" sqref="W21"/>
    </sheetView>
  </sheetViews>
  <sheetFormatPr defaultColWidth="9.140625" defaultRowHeight="12.75"/>
  <cols>
    <col min="1" max="1" width="27.8515625" style="0" customWidth="1"/>
    <col min="2" max="2" width="10.7109375" style="2" customWidth="1"/>
    <col min="3" max="3" width="0.71875" style="0" customWidth="1"/>
    <col min="4" max="4" width="11.28125" style="0" customWidth="1"/>
    <col min="5" max="6" width="10.7109375" style="0" customWidth="1"/>
    <col min="7" max="8" width="10.7109375" style="2" customWidth="1"/>
    <col min="9" max="9" width="0.71875" style="0" customWidth="1"/>
    <col min="10" max="13" width="10.7109375" style="2" customWidth="1"/>
    <col min="14" max="14" width="0.71875" style="2" customWidth="1"/>
    <col min="15" max="15" width="11.140625" style="0" customWidth="1"/>
    <col min="16" max="16" width="10.8515625" style="0" customWidth="1"/>
    <col min="17" max="18" width="10.57421875" style="0" customWidth="1"/>
    <col min="19" max="19" width="1.57421875" style="0" customWidth="1"/>
    <col min="21" max="21" width="10.8515625" style="0" customWidth="1"/>
    <col min="22" max="22" width="10.57421875" style="0" customWidth="1"/>
    <col min="23" max="23" width="10.140625" style="0" customWidth="1"/>
  </cols>
  <sheetData>
    <row r="1" spans="1:23" ht="15.75">
      <c r="A1" s="1" t="s">
        <v>235</v>
      </c>
      <c r="Q1" s="1"/>
      <c r="W1" s="3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1</v>
      </c>
      <c r="C4" s="6"/>
      <c r="D4" s="253" t="s">
        <v>2</v>
      </c>
      <c r="E4" s="254"/>
      <c r="F4" s="254"/>
      <c r="G4" s="254"/>
      <c r="H4" s="255"/>
      <c r="I4" s="9"/>
      <c r="J4" s="250" t="s">
        <v>3</v>
      </c>
      <c r="K4" s="251"/>
      <c r="L4" s="251"/>
      <c r="M4" s="252"/>
      <c r="N4" s="10"/>
      <c r="O4" s="7" t="s">
        <v>4</v>
      </c>
      <c r="P4" s="7"/>
      <c r="Q4" s="7"/>
      <c r="R4" s="8"/>
      <c r="S4" s="10"/>
      <c r="T4" s="7" t="s">
        <v>5</v>
      </c>
      <c r="U4" s="7"/>
      <c r="V4" s="7"/>
      <c r="W4" s="8"/>
    </row>
    <row r="5" spans="1:23" s="16" customFormat="1" ht="66" customHeight="1">
      <c r="A5" s="13" t="s">
        <v>6</v>
      </c>
      <c r="B5" s="60" t="s">
        <v>7</v>
      </c>
      <c r="C5" s="61"/>
      <c r="D5" s="62" t="s">
        <v>218</v>
      </c>
      <c r="E5" s="62" t="s">
        <v>220</v>
      </c>
      <c r="F5" s="62" t="s">
        <v>221</v>
      </c>
      <c r="G5" s="62" t="s">
        <v>222</v>
      </c>
      <c r="H5" s="60" t="s">
        <v>223</v>
      </c>
      <c r="I5" s="63"/>
      <c r="J5" s="62" t="s">
        <v>231</v>
      </c>
      <c r="K5" s="62" t="s">
        <v>224</v>
      </c>
      <c r="L5" s="62" t="s">
        <v>225</v>
      </c>
      <c r="M5" s="64" t="s">
        <v>190</v>
      </c>
      <c r="N5" s="65"/>
      <c r="O5" s="202" t="s">
        <v>232</v>
      </c>
      <c r="P5" s="62" t="s">
        <v>226</v>
      </c>
      <c r="Q5" s="62" t="s">
        <v>227</v>
      </c>
      <c r="R5" s="60" t="s">
        <v>193</v>
      </c>
      <c r="S5" s="65"/>
      <c r="T5" s="202" t="s">
        <v>233</v>
      </c>
      <c r="U5" s="62" t="s">
        <v>228</v>
      </c>
      <c r="V5" s="62" t="s">
        <v>229</v>
      </c>
      <c r="W5" s="60" t="s">
        <v>230</v>
      </c>
    </row>
    <row r="6" spans="1:23" ht="24.75" customHeight="1">
      <c r="A6" s="49" t="s">
        <v>35</v>
      </c>
      <c r="B6" s="50">
        <f>'EALObjective  (3)'!B17</f>
        <v>4461</v>
      </c>
      <c r="C6" s="50"/>
      <c r="D6" s="50">
        <f>'EALObjective  (3)'!D17</f>
        <v>42</v>
      </c>
      <c r="E6" s="50">
        <f>'EALObjective  (3)'!E17</f>
        <v>225</v>
      </c>
      <c r="F6" s="50">
        <f>'EALObjective  (3)'!F17</f>
        <v>-417</v>
      </c>
      <c r="G6" s="50">
        <f>'EALObjective  (3)'!G17</f>
        <v>119</v>
      </c>
      <c r="H6" s="50">
        <f>'EALObjective  (3)'!H17</f>
        <v>4430</v>
      </c>
      <c r="I6" s="50">
        <f>'EALObjective  (3)'!I17</f>
        <v>0</v>
      </c>
      <c r="J6" s="50">
        <f>'EALObjective  (3)'!J17</f>
        <v>19</v>
      </c>
      <c r="K6" s="50">
        <f>'EALObjective  (3)'!K17</f>
        <v>-20</v>
      </c>
      <c r="L6" s="50">
        <f>'EALObjective  (3)'!L17</f>
        <v>124.36841594785622</v>
      </c>
      <c r="M6" s="50">
        <f>'EALObjective  (3)'!M17</f>
        <v>4553.368415947856</v>
      </c>
      <c r="N6" s="50">
        <f>'EALObjective  (3)'!N17</f>
        <v>0</v>
      </c>
      <c r="O6" s="50">
        <f>'EALObjective  (3)'!O17</f>
        <v>47</v>
      </c>
      <c r="P6" s="50">
        <f>'EALObjective  (3)'!P17</f>
        <v>0</v>
      </c>
      <c r="Q6" s="50">
        <f>'EALObjective  (3)'!Q17</f>
        <v>148.95186189679183</v>
      </c>
      <c r="R6" s="50">
        <f>'EALObjective  (3)'!R17</f>
        <v>4749.3202778446475</v>
      </c>
      <c r="S6" s="50">
        <f>'EALObjective  (3)'!S17</f>
        <v>0</v>
      </c>
      <c r="T6" s="50">
        <f>'EALObjective  (3)'!T17</f>
        <v>48.5</v>
      </c>
      <c r="U6" s="50">
        <f>'EALObjective  (3)'!U17</f>
        <v>0</v>
      </c>
      <c r="V6" s="50">
        <f>'EALObjective  (3)'!V17</f>
        <v>158.23066468261678</v>
      </c>
      <c r="W6" s="50">
        <f>'EALObjective  (3)'!W17</f>
        <v>4955.050942527265</v>
      </c>
    </row>
    <row r="7" spans="1:23" s="51" customFormat="1" ht="24.75" customHeight="1">
      <c r="A7" s="17" t="s">
        <v>49</v>
      </c>
      <c r="B7" s="22"/>
      <c r="C7" s="21"/>
      <c r="D7" s="22"/>
      <c r="E7" s="22"/>
      <c r="F7" s="22"/>
      <c r="G7" s="22"/>
      <c r="H7" s="22"/>
      <c r="I7" s="21"/>
      <c r="J7" s="22"/>
      <c r="K7" s="22"/>
      <c r="L7" s="22"/>
      <c r="M7" s="23"/>
      <c r="N7" s="21"/>
      <c r="O7" s="26"/>
      <c r="P7" s="20"/>
      <c r="Q7" s="22"/>
      <c r="R7" s="22"/>
      <c r="S7" s="21"/>
      <c r="T7" s="26"/>
      <c r="U7" s="20"/>
      <c r="V7" s="22"/>
      <c r="W7" s="22"/>
    </row>
    <row r="8" spans="1:23" ht="24.75" customHeight="1">
      <c r="A8" s="46" t="s">
        <v>50</v>
      </c>
      <c r="B8" s="22">
        <v>562</v>
      </c>
      <c r="C8" s="22"/>
      <c r="D8" s="22">
        <v>6</v>
      </c>
      <c r="E8" s="22"/>
      <c r="F8" s="22"/>
      <c r="G8" s="22">
        <v>15</v>
      </c>
      <c r="H8" s="22">
        <f aca="true" t="shared" si="0" ref="H8:H13">SUM(B8:G8)</f>
        <v>583</v>
      </c>
      <c r="I8" s="21"/>
      <c r="J8" s="45">
        <v>6</v>
      </c>
      <c r="K8" s="45"/>
      <c r="L8" s="22">
        <f aca="true" t="shared" si="1" ref="L8:L13">(H8+J8+K8)*(G8/B8)</f>
        <v>15.720640569395018</v>
      </c>
      <c r="M8" s="23">
        <f aca="true" t="shared" si="2" ref="M8:M13">SUM(H8:L8)</f>
        <v>604.7206405693951</v>
      </c>
      <c r="N8" s="21"/>
      <c r="O8" s="52">
        <v>7</v>
      </c>
      <c r="P8" s="45"/>
      <c r="Q8" s="22">
        <f>(M8+O8+P8)*(G8/B8)-1</f>
        <v>15.327063360393108</v>
      </c>
      <c r="R8" s="22">
        <f aca="true" t="shared" si="3" ref="R8:R13">SUM(M8:Q8)</f>
        <v>627.0477039297882</v>
      </c>
      <c r="S8" s="21"/>
      <c r="T8" s="52">
        <v>7</v>
      </c>
      <c r="U8" s="45"/>
      <c r="V8" s="22">
        <f aca="true" t="shared" si="4" ref="V8:V13">(R8+T8+U8)*(G8/B8)</f>
        <v>16.922981421613564</v>
      </c>
      <c r="W8" s="22">
        <f aca="true" t="shared" si="5" ref="W8:W13">SUM(R8:V8)</f>
        <v>650.9706853514018</v>
      </c>
    </row>
    <row r="9" spans="1:23" ht="24.75" customHeight="1">
      <c r="A9" s="53" t="s">
        <v>51</v>
      </c>
      <c r="B9" s="2">
        <v>736</v>
      </c>
      <c r="C9" s="21"/>
      <c r="D9" s="22">
        <v>6</v>
      </c>
      <c r="E9" s="22">
        <f>4-4</f>
        <v>0</v>
      </c>
      <c r="F9" s="22"/>
      <c r="G9" s="22">
        <v>19</v>
      </c>
      <c r="H9" s="22">
        <f t="shared" si="0"/>
        <v>761</v>
      </c>
      <c r="I9" s="21"/>
      <c r="J9" s="22">
        <v>6</v>
      </c>
      <c r="K9" s="22"/>
      <c r="L9" s="22">
        <f t="shared" si="1"/>
        <v>19.800271739130434</v>
      </c>
      <c r="M9" s="23">
        <f t="shared" si="2"/>
        <v>786.8002717391304</v>
      </c>
      <c r="N9" s="21"/>
      <c r="O9" s="24">
        <v>7</v>
      </c>
      <c r="P9" s="22"/>
      <c r="Q9" s="22">
        <f>(M9+O9+P9)*(G9/B9)</f>
        <v>20.492126580222116</v>
      </c>
      <c r="R9" s="22">
        <f t="shared" si="3"/>
        <v>814.2923983193525</v>
      </c>
      <c r="S9" s="21"/>
      <c r="T9" s="24">
        <v>7</v>
      </c>
      <c r="U9" s="22"/>
      <c r="V9" s="22">
        <f>(R9+T9+U9)*(G9/B9)-1</f>
        <v>20.201841804439805</v>
      </c>
      <c r="W9" s="22">
        <f t="shared" si="5"/>
        <v>841.4942401237923</v>
      </c>
    </row>
    <row r="10" spans="1:23" ht="24.75" customHeight="1">
      <c r="A10" s="20" t="s">
        <v>19</v>
      </c>
      <c r="B10" s="22">
        <v>146</v>
      </c>
      <c r="C10" s="21"/>
      <c r="D10" s="22">
        <v>1</v>
      </c>
      <c r="E10" s="22"/>
      <c r="F10" s="22"/>
      <c r="G10" s="22">
        <v>5</v>
      </c>
      <c r="H10" s="22">
        <f t="shared" si="0"/>
        <v>152</v>
      </c>
      <c r="I10" s="21"/>
      <c r="J10" s="22">
        <v>2</v>
      </c>
      <c r="K10" s="22"/>
      <c r="L10" s="22">
        <f>(H10+J10+K10)*(G10/B10)-1</f>
        <v>4.273972602739725</v>
      </c>
      <c r="M10" s="23">
        <f t="shared" si="2"/>
        <v>158.27397260273972</v>
      </c>
      <c r="N10" s="21"/>
      <c r="O10" s="24">
        <v>2</v>
      </c>
      <c r="P10" s="22"/>
      <c r="Q10" s="22">
        <f>(M10+O10+P10)*(G10/B10)-0.5</f>
        <v>4.988834678176017</v>
      </c>
      <c r="R10" s="22">
        <f>SUM(M10:Q10)</f>
        <v>165.26280728091572</v>
      </c>
      <c r="S10" s="21"/>
      <c r="T10" s="24">
        <v>2.4</v>
      </c>
      <c r="U10" s="22"/>
      <c r="V10" s="22">
        <f>(R10+T10+U10)*(G10/B10)-1</f>
        <v>4.741876961675196</v>
      </c>
      <c r="W10" s="22">
        <f>SUM(R10:V10)</f>
        <v>172.40468424259092</v>
      </c>
    </row>
    <row r="11" spans="1:23" ht="24.75" customHeight="1">
      <c r="A11" s="38" t="s">
        <v>52</v>
      </c>
      <c r="B11" s="22">
        <v>113</v>
      </c>
      <c r="C11" s="21"/>
      <c r="D11" s="22"/>
      <c r="E11" s="22">
        <v>110</v>
      </c>
      <c r="F11" s="22"/>
      <c r="G11" s="22">
        <v>3</v>
      </c>
      <c r="H11" s="22">
        <f t="shared" si="0"/>
        <v>226</v>
      </c>
      <c r="I11" s="21"/>
      <c r="J11" s="22">
        <f>55-30</f>
        <v>25</v>
      </c>
      <c r="K11" s="22"/>
      <c r="L11" s="22">
        <f t="shared" si="1"/>
        <v>6.663716814159292</v>
      </c>
      <c r="M11" s="23">
        <f t="shared" si="2"/>
        <v>257.6637168141593</v>
      </c>
      <c r="N11" s="21"/>
      <c r="O11" s="24">
        <f>55-55</f>
        <v>0</v>
      </c>
      <c r="P11" s="22"/>
      <c r="Q11" s="22">
        <f>(M11+O11+P11)*(G11/B11)</f>
        <v>6.840629649933432</v>
      </c>
      <c r="R11" s="22">
        <f t="shared" si="3"/>
        <v>264.5043464640927</v>
      </c>
      <c r="S11" s="21"/>
      <c r="T11" s="24"/>
      <c r="U11" s="22"/>
      <c r="V11" s="22">
        <f t="shared" si="4"/>
        <v>7.022239286657328</v>
      </c>
      <c r="W11" s="22">
        <f t="shared" si="5"/>
        <v>271.52658575075003</v>
      </c>
    </row>
    <row r="12" spans="1:23" ht="24.75" customHeight="1">
      <c r="A12" s="20" t="s">
        <v>53</v>
      </c>
      <c r="B12" s="22">
        <v>43</v>
      </c>
      <c r="C12" s="21"/>
      <c r="D12" s="22"/>
      <c r="E12" s="22"/>
      <c r="F12" s="22"/>
      <c r="G12" s="22">
        <v>1</v>
      </c>
      <c r="H12" s="22">
        <f t="shared" si="0"/>
        <v>44</v>
      </c>
      <c r="I12" s="21"/>
      <c r="J12" s="22"/>
      <c r="K12" s="22"/>
      <c r="L12" s="22">
        <f t="shared" si="1"/>
        <v>1.0232558139534884</v>
      </c>
      <c r="M12" s="23">
        <f t="shared" si="2"/>
        <v>45.02325581395349</v>
      </c>
      <c r="N12" s="21"/>
      <c r="O12" s="24"/>
      <c r="P12" s="22"/>
      <c r="Q12" s="22">
        <f>(M12+O12+P12)*(G12/B12)</f>
        <v>1.0470524607896161</v>
      </c>
      <c r="R12" s="22">
        <f t="shared" si="3"/>
        <v>46.070308274743105</v>
      </c>
      <c r="S12" s="21"/>
      <c r="T12" s="24"/>
      <c r="U12" s="22"/>
      <c r="V12" s="22">
        <f t="shared" si="4"/>
        <v>1.0714025180172815</v>
      </c>
      <c r="W12" s="22">
        <f t="shared" si="5"/>
        <v>47.141710792760385</v>
      </c>
    </row>
    <row r="13" spans="1:23" ht="24.75" customHeight="1">
      <c r="A13" s="20" t="s">
        <v>54</v>
      </c>
      <c r="B13" s="36">
        <v>87</v>
      </c>
      <c r="C13" s="21"/>
      <c r="D13" s="22"/>
      <c r="E13" s="22"/>
      <c r="F13" s="22"/>
      <c r="G13" s="22">
        <v>2</v>
      </c>
      <c r="H13" s="22">
        <f t="shared" si="0"/>
        <v>89</v>
      </c>
      <c r="I13" s="21"/>
      <c r="J13" s="22"/>
      <c r="K13" s="22"/>
      <c r="L13" s="22">
        <f t="shared" si="1"/>
        <v>2.045977011494253</v>
      </c>
      <c r="M13" s="23">
        <f t="shared" si="2"/>
        <v>91.04597701149426</v>
      </c>
      <c r="N13" s="21"/>
      <c r="O13" s="24"/>
      <c r="P13" s="22"/>
      <c r="Q13" s="22">
        <f>(M13+O13+P13)*(G13/B13)</f>
        <v>2.093010965781477</v>
      </c>
      <c r="R13" s="22">
        <f t="shared" si="3"/>
        <v>93.13898797727573</v>
      </c>
      <c r="S13" s="21"/>
      <c r="T13" s="24"/>
      <c r="U13" s="22"/>
      <c r="V13" s="22">
        <f t="shared" si="4"/>
        <v>2.1411261603971434</v>
      </c>
      <c r="W13" s="22">
        <f t="shared" si="5"/>
        <v>95.28011413767288</v>
      </c>
    </row>
    <row r="14" spans="1:23" ht="24.75" customHeight="1">
      <c r="A14" s="44" t="s">
        <v>55</v>
      </c>
      <c r="B14" s="22"/>
      <c r="C14" s="21"/>
      <c r="D14" s="22"/>
      <c r="E14" s="22"/>
      <c r="F14" s="22"/>
      <c r="G14" s="22"/>
      <c r="H14" s="22"/>
      <c r="I14" s="21"/>
      <c r="J14" s="22"/>
      <c r="K14" s="22"/>
      <c r="L14" s="22"/>
      <c r="M14" s="23"/>
      <c r="N14" s="21"/>
      <c r="O14" s="22"/>
      <c r="P14" s="22"/>
      <c r="Q14" s="22"/>
      <c r="R14" s="22"/>
      <c r="S14" s="21"/>
      <c r="T14" s="22"/>
      <c r="U14" s="22"/>
      <c r="V14" s="22"/>
      <c r="W14" s="22"/>
    </row>
    <row r="15" spans="1:23" ht="24.75" customHeight="1">
      <c r="A15" s="46" t="s">
        <v>56</v>
      </c>
      <c r="B15" s="22">
        <v>54</v>
      </c>
      <c r="C15" s="21"/>
      <c r="D15" s="22"/>
      <c r="E15" s="22"/>
      <c r="F15" s="22"/>
      <c r="G15" s="22">
        <v>1</v>
      </c>
      <c r="H15" s="22">
        <f aca="true" t="shared" si="6" ref="H15:H20">SUM(B15:G15)</f>
        <v>55</v>
      </c>
      <c r="I15" s="21"/>
      <c r="J15" s="22"/>
      <c r="K15" s="22"/>
      <c r="L15" s="22">
        <f>(H15+J15+K15)*(G15/B15)</f>
        <v>1.0185185185185184</v>
      </c>
      <c r="M15" s="23">
        <f aca="true" t="shared" si="7" ref="M15:M20">SUM(H15:L15)</f>
        <v>56.01851851851852</v>
      </c>
      <c r="N15" s="21"/>
      <c r="O15" s="24"/>
      <c r="P15" s="22"/>
      <c r="Q15" s="22">
        <f>(M15+O15+P15)*(G15/B15)</f>
        <v>1.0373799725651578</v>
      </c>
      <c r="R15" s="22">
        <f aca="true" t="shared" si="8" ref="R15:R20">SUM(M15:Q15)</f>
        <v>57.055898491083674</v>
      </c>
      <c r="S15" s="21"/>
      <c r="T15" s="24"/>
      <c r="U15" s="22"/>
      <c r="V15" s="22">
        <f>(R15+T15+U15)*(G15/B15)</f>
        <v>1.0565907127978458</v>
      </c>
      <c r="W15" s="22">
        <f aca="true" t="shared" si="9" ref="W15:W20">SUM(R15:V15)</f>
        <v>58.11248920388152</v>
      </c>
    </row>
    <row r="16" spans="1:23" ht="24.75" customHeight="1">
      <c r="A16" s="20" t="s">
        <v>57</v>
      </c>
      <c r="B16" s="22">
        <v>428</v>
      </c>
      <c r="C16" s="21"/>
      <c r="D16" s="22"/>
      <c r="E16" s="22"/>
      <c r="F16" s="22"/>
      <c r="G16" s="22">
        <v>11</v>
      </c>
      <c r="H16" s="22">
        <f t="shared" si="6"/>
        <v>439</v>
      </c>
      <c r="I16" s="21"/>
      <c r="J16" s="22"/>
      <c r="K16" s="22"/>
      <c r="L16" s="22">
        <f>(H16+J16+K16)*(G16/B16)</f>
        <v>11.282710280373832</v>
      </c>
      <c r="M16" s="23">
        <f t="shared" si="7"/>
        <v>450.2827102803738</v>
      </c>
      <c r="N16" s="21"/>
      <c r="O16" s="24"/>
      <c r="P16" s="22"/>
      <c r="Q16" s="22">
        <f>(M16+O16+P16)*(G16/B16)</f>
        <v>11.572686479168485</v>
      </c>
      <c r="R16" s="22">
        <f t="shared" si="8"/>
        <v>461.8553967595423</v>
      </c>
      <c r="S16" s="21"/>
      <c r="T16" s="24"/>
      <c r="U16" s="22"/>
      <c r="V16" s="22">
        <f>(R16+T16+U16)*(G16/B16)</f>
        <v>11.870115337277957</v>
      </c>
      <c r="W16" s="22">
        <f t="shared" si="9"/>
        <v>473.7255120968203</v>
      </c>
    </row>
    <row r="17" spans="1:23" ht="24.75" customHeight="1">
      <c r="A17" s="20" t="s">
        <v>58</v>
      </c>
      <c r="B17" s="22">
        <v>187</v>
      </c>
      <c r="C17" s="21"/>
      <c r="D17" s="22"/>
      <c r="E17" s="22"/>
      <c r="F17" s="22"/>
      <c r="G17" s="22">
        <v>5</v>
      </c>
      <c r="H17" s="22">
        <f t="shared" si="6"/>
        <v>192</v>
      </c>
      <c r="I17" s="21"/>
      <c r="J17" s="22"/>
      <c r="K17" s="22"/>
      <c r="L17" s="22">
        <f>(H17+J17+K17)*(G17/B17)</f>
        <v>5.133689839572193</v>
      </c>
      <c r="M17" s="23">
        <f t="shared" si="7"/>
        <v>197.13368983957218</v>
      </c>
      <c r="N17" s="21"/>
      <c r="O17" s="24"/>
      <c r="P17" s="22"/>
      <c r="Q17" s="22">
        <f>(M17+O17+P17)*(G17/B17)</f>
        <v>5.270954273785352</v>
      </c>
      <c r="R17" s="22">
        <f t="shared" si="8"/>
        <v>202.40464411335753</v>
      </c>
      <c r="S17" s="21"/>
      <c r="T17" s="24"/>
      <c r="U17" s="22"/>
      <c r="V17" s="22">
        <f>(R17+T17+U17)*(G17/B17)</f>
        <v>5.411888880036297</v>
      </c>
      <c r="W17" s="22">
        <f t="shared" si="9"/>
        <v>207.81653299339382</v>
      </c>
    </row>
    <row r="18" spans="1:23" ht="24.75" customHeight="1">
      <c r="A18" s="20" t="s">
        <v>59</v>
      </c>
      <c r="B18" s="22">
        <v>413</v>
      </c>
      <c r="C18" s="21"/>
      <c r="D18" s="22"/>
      <c r="E18" s="22"/>
      <c r="F18" s="22"/>
      <c r="G18" s="22">
        <v>12</v>
      </c>
      <c r="H18" s="22">
        <f t="shared" si="6"/>
        <v>425</v>
      </c>
      <c r="I18" s="21"/>
      <c r="J18" s="22"/>
      <c r="K18" s="22"/>
      <c r="L18" s="22">
        <f>(H18+J18+K18)*(G18/B18)</f>
        <v>12.34866828087167</v>
      </c>
      <c r="M18" s="23">
        <f t="shared" si="7"/>
        <v>437.34866828087166</v>
      </c>
      <c r="N18" s="21"/>
      <c r="O18" s="26"/>
      <c r="P18" s="20"/>
      <c r="Q18" s="22">
        <f>(M18+O18+P18)*(G18/B18)</f>
        <v>12.70746735925051</v>
      </c>
      <c r="R18" s="22">
        <f t="shared" si="8"/>
        <v>450.0561356401222</v>
      </c>
      <c r="S18" s="21"/>
      <c r="T18" s="26"/>
      <c r="U18" s="20"/>
      <c r="V18" s="22">
        <f>(R18+T18+U18)*(G18/B18)</f>
        <v>13.076691592449071</v>
      </c>
      <c r="W18" s="22">
        <f t="shared" si="9"/>
        <v>463.1328272325713</v>
      </c>
    </row>
    <row r="19" spans="1:23" ht="24.75" customHeight="1">
      <c r="A19" s="20" t="s">
        <v>60</v>
      </c>
      <c r="B19" s="22">
        <v>3245</v>
      </c>
      <c r="C19" s="22"/>
      <c r="D19" s="22">
        <v>13</v>
      </c>
      <c r="E19" s="22"/>
      <c r="F19" s="22"/>
      <c r="G19" s="22">
        <v>85</v>
      </c>
      <c r="H19" s="22">
        <f t="shared" si="6"/>
        <v>3343</v>
      </c>
      <c r="I19" s="21"/>
      <c r="J19" s="22">
        <v>14</v>
      </c>
      <c r="K19" s="22"/>
      <c r="L19" s="22">
        <f>(H19+J19+K19)*(G19/B19)-1</f>
        <v>86.9337442218798</v>
      </c>
      <c r="M19" s="23">
        <f>SUM(H19:L19)</f>
        <v>3443.93374422188</v>
      </c>
      <c r="N19" s="21"/>
      <c r="O19" s="26">
        <v>15</v>
      </c>
      <c r="P19" s="20"/>
      <c r="Q19" s="22">
        <f>(M19+O19+P19)*(G19/B19)-2</f>
        <v>88.60381148192906</v>
      </c>
      <c r="R19" s="22">
        <f t="shared" si="8"/>
        <v>3547.5375557038087</v>
      </c>
      <c r="S19" s="21"/>
      <c r="T19" s="26">
        <v>16</v>
      </c>
      <c r="U19" s="20"/>
      <c r="V19" s="22">
        <f>(R19+T19+U19)*(G19/B19)-2</f>
        <v>91.34381887051579</v>
      </c>
      <c r="W19" s="22">
        <f t="shared" si="9"/>
        <v>3654.8813745743246</v>
      </c>
    </row>
    <row r="20" spans="1:23" ht="24.75" customHeight="1">
      <c r="A20" s="20" t="s">
        <v>61</v>
      </c>
      <c r="B20" s="22">
        <v>464</v>
      </c>
      <c r="C20" s="21"/>
      <c r="D20" s="22">
        <v>6</v>
      </c>
      <c r="E20" s="22">
        <v>50</v>
      </c>
      <c r="F20" s="22"/>
      <c r="G20" s="22">
        <v>12</v>
      </c>
      <c r="H20" s="22">
        <f t="shared" si="6"/>
        <v>532</v>
      </c>
      <c r="I20" s="21"/>
      <c r="J20" s="22">
        <v>6</v>
      </c>
      <c r="K20" s="22"/>
      <c r="L20" s="22">
        <f>16</f>
        <v>16</v>
      </c>
      <c r="M20" s="23">
        <f t="shared" si="7"/>
        <v>554</v>
      </c>
      <c r="N20" s="21"/>
      <c r="O20" s="26">
        <v>7</v>
      </c>
      <c r="P20" s="20"/>
      <c r="Q20" s="22">
        <f>17-1</f>
        <v>16</v>
      </c>
      <c r="R20" s="22">
        <f t="shared" si="8"/>
        <v>577</v>
      </c>
      <c r="S20" s="21"/>
      <c r="T20" s="26">
        <v>7</v>
      </c>
      <c r="U20" s="20"/>
      <c r="V20" s="22">
        <f>16-1</f>
        <v>15</v>
      </c>
      <c r="W20" s="22">
        <f t="shared" si="9"/>
        <v>599</v>
      </c>
    </row>
    <row r="21" spans="1:23" s="30" customFormat="1" ht="34.5" customHeight="1">
      <c r="A21" s="27" t="s">
        <v>48</v>
      </c>
      <c r="B21" s="28">
        <f aca="true" t="shared" si="10" ref="B21:W21">SUM(B6:B20)</f>
        <v>10939</v>
      </c>
      <c r="C21" s="28">
        <f t="shared" si="10"/>
        <v>0</v>
      </c>
      <c r="D21" s="28">
        <f t="shared" si="10"/>
        <v>74</v>
      </c>
      <c r="E21" s="28">
        <f t="shared" si="10"/>
        <v>385</v>
      </c>
      <c r="F21" s="28">
        <f t="shared" si="10"/>
        <v>-417</v>
      </c>
      <c r="G21" s="28">
        <f t="shared" si="10"/>
        <v>290</v>
      </c>
      <c r="H21" s="28">
        <f t="shared" si="10"/>
        <v>11271</v>
      </c>
      <c r="I21" s="28">
        <f t="shared" si="10"/>
        <v>0</v>
      </c>
      <c r="J21" s="28">
        <f t="shared" si="10"/>
        <v>78</v>
      </c>
      <c r="K21" s="28">
        <f t="shared" si="10"/>
        <v>-20</v>
      </c>
      <c r="L21" s="28">
        <f>SUM(L6:L20)-1</f>
        <v>305.6135816399444</v>
      </c>
      <c r="M21" s="28">
        <f>SUM(M6:M20)-1</f>
        <v>11634.613581639944</v>
      </c>
      <c r="N21" s="28">
        <f t="shared" si="10"/>
        <v>0</v>
      </c>
      <c r="O21" s="28">
        <f t="shared" si="10"/>
        <v>85</v>
      </c>
      <c r="P21" s="28">
        <f t="shared" si="10"/>
        <v>0</v>
      </c>
      <c r="Q21" s="28">
        <f t="shared" si="10"/>
        <v>334.93287915878614</v>
      </c>
      <c r="R21" s="28">
        <f t="shared" si="10"/>
        <v>12055.54646079873</v>
      </c>
      <c r="S21" s="28">
        <f t="shared" si="10"/>
        <v>0</v>
      </c>
      <c r="T21" s="28">
        <f t="shared" si="10"/>
        <v>87.9</v>
      </c>
      <c r="U21" s="28">
        <f t="shared" si="10"/>
        <v>0</v>
      </c>
      <c r="V21" s="28">
        <f t="shared" si="10"/>
        <v>348.09123822849403</v>
      </c>
      <c r="W21" s="28">
        <f t="shared" si="10"/>
        <v>12490.537699027223</v>
      </c>
    </row>
    <row r="22" spans="1:23" s="30" customFormat="1" ht="12.75" customHeight="1">
      <c r="A22" s="31"/>
      <c r="B22" s="32"/>
      <c r="C22" s="32"/>
      <c r="D22" s="32"/>
      <c r="E22" s="33"/>
      <c r="F22" s="33"/>
      <c r="G22" s="33"/>
      <c r="H22" s="34"/>
      <c r="I22" s="32"/>
      <c r="J22" s="33"/>
      <c r="K22" s="33"/>
      <c r="L22" s="33"/>
      <c r="M22" s="33"/>
      <c r="N22" s="33"/>
      <c r="O22" s="32"/>
      <c r="P22" s="32"/>
      <c r="Q22" s="32"/>
      <c r="R22" s="32"/>
      <c r="S22" s="12"/>
      <c r="T22" s="12"/>
      <c r="U22" s="12"/>
      <c r="V22" s="12"/>
      <c r="W22" s="12"/>
    </row>
    <row r="23" spans="1:23" ht="12.75">
      <c r="A23" s="35"/>
      <c r="S23" s="16"/>
      <c r="T23" s="16"/>
      <c r="U23" s="16"/>
      <c r="V23" s="16"/>
      <c r="W23" s="16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38" spans="19:23" ht="12.75">
      <c r="S38" s="30"/>
      <c r="T38" s="30"/>
      <c r="U38" s="30"/>
      <c r="V38" s="30"/>
      <c r="W38" s="30"/>
    </row>
    <row r="39" spans="19:23" ht="12.75">
      <c r="S39" s="30"/>
      <c r="T39" s="30"/>
      <c r="U39" s="30"/>
      <c r="V39" s="30"/>
      <c r="W39" s="30"/>
    </row>
  </sheetData>
  <mergeCells count="3">
    <mergeCell ref="J4:M4"/>
    <mergeCell ref="A2:W2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4" r:id="rId2"/>
  <headerFooter alignWithMargins="0">
    <oddHeader>&amp;R&amp;"Arial,Bold"&amp;8APPENDIX C</oddHeader>
    <oddFooter>&amp;L&amp;F\&amp;A&amp;R&amp;9 96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workbookViewId="0" topLeftCell="A1">
      <selection activeCell="H36" sqref="H36"/>
    </sheetView>
  </sheetViews>
  <sheetFormatPr defaultColWidth="9.140625" defaultRowHeight="12.75"/>
  <cols>
    <col min="1" max="1" width="27.8515625" style="0" customWidth="1"/>
    <col min="2" max="2" width="10.7109375" style="2" customWidth="1"/>
    <col min="3" max="3" width="0.71875" style="0" customWidth="1"/>
    <col min="4" max="4" width="11.421875" style="0" customWidth="1"/>
    <col min="5" max="6" width="10.7109375" style="0" customWidth="1"/>
    <col min="7" max="8" width="10.7109375" style="2" customWidth="1"/>
    <col min="9" max="9" width="0.71875" style="0" customWidth="1"/>
    <col min="10" max="13" width="10.7109375" style="2" customWidth="1"/>
    <col min="14" max="14" width="0.71875" style="2" customWidth="1"/>
    <col min="15" max="15" width="11.140625" style="0" customWidth="1"/>
    <col min="16" max="16" width="10.8515625" style="0" customWidth="1"/>
    <col min="17" max="18" width="10.57421875" style="0" customWidth="1"/>
    <col min="19" max="19" width="0.85546875" style="0" customWidth="1"/>
    <col min="21" max="21" width="10.8515625" style="0" customWidth="1"/>
    <col min="22" max="22" width="10.57421875" style="0" customWidth="1"/>
    <col min="23" max="23" width="10.140625" style="0" customWidth="1"/>
  </cols>
  <sheetData>
    <row r="1" spans="1:23" ht="15.75">
      <c r="A1" s="1" t="s">
        <v>235</v>
      </c>
      <c r="Q1" s="1"/>
      <c r="W1" s="3"/>
    </row>
    <row r="2" spans="1:23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4" spans="1:23" s="12" customFormat="1" ht="24.75" customHeight="1">
      <c r="A4" s="4"/>
      <c r="B4" s="5" t="s">
        <v>1</v>
      </c>
      <c r="C4" s="6"/>
      <c r="D4" s="256" t="s">
        <v>2</v>
      </c>
      <c r="E4" s="257"/>
      <c r="F4" s="257"/>
      <c r="G4" s="257"/>
      <c r="H4" s="258"/>
      <c r="I4" s="9"/>
      <c r="J4" s="250" t="s">
        <v>3</v>
      </c>
      <c r="K4" s="251"/>
      <c r="L4" s="251"/>
      <c r="M4" s="252"/>
      <c r="N4" s="10"/>
      <c r="O4" s="250" t="s">
        <v>4</v>
      </c>
      <c r="P4" s="251"/>
      <c r="Q4" s="251"/>
      <c r="R4" s="251"/>
      <c r="S4" s="128"/>
      <c r="T4" s="7" t="s">
        <v>5</v>
      </c>
      <c r="U4" s="7"/>
      <c r="V4" s="7"/>
      <c r="W4" s="8"/>
    </row>
    <row r="5" spans="1:23" s="16" customFormat="1" ht="66" customHeight="1">
      <c r="A5" s="13" t="s">
        <v>6</v>
      </c>
      <c r="B5" s="60" t="s">
        <v>7</v>
      </c>
      <c r="C5" s="61"/>
      <c r="D5" s="62" t="s">
        <v>218</v>
      </c>
      <c r="E5" s="62" t="s">
        <v>220</v>
      </c>
      <c r="F5" s="62" t="s">
        <v>221</v>
      </c>
      <c r="G5" s="62" t="s">
        <v>222</v>
      </c>
      <c r="H5" s="60" t="s">
        <v>223</v>
      </c>
      <c r="I5" s="63"/>
      <c r="J5" s="62" t="s">
        <v>231</v>
      </c>
      <c r="K5" s="62" t="s">
        <v>224</v>
      </c>
      <c r="L5" s="62" t="s">
        <v>225</v>
      </c>
      <c r="M5" s="64" t="s">
        <v>190</v>
      </c>
      <c r="N5" s="65"/>
      <c r="O5" s="202" t="s">
        <v>232</v>
      </c>
      <c r="P5" s="62" t="s">
        <v>226</v>
      </c>
      <c r="Q5" s="62" t="s">
        <v>227</v>
      </c>
      <c r="R5" s="60" t="s">
        <v>193</v>
      </c>
      <c r="S5" s="65"/>
      <c r="T5" s="202" t="s">
        <v>233</v>
      </c>
      <c r="U5" s="62" t="s">
        <v>228</v>
      </c>
      <c r="V5" s="62" t="s">
        <v>229</v>
      </c>
      <c r="W5" s="60" t="s">
        <v>230</v>
      </c>
    </row>
    <row r="6" spans="1:23" ht="24.75" customHeight="1">
      <c r="A6" s="17" t="s">
        <v>35</v>
      </c>
      <c r="B6" s="238">
        <f>'EALObjective  (4)'!B21</f>
        <v>10939</v>
      </c>
      <c r="C6" s="239"/>
      <c r="D6" s="238">
        <f>'EALObjective  (4)'!D21</f>
        <v>74</v>
      </c>
      <c r="E6" s="240">
        <f>'EALObjective  (4)'!E21</f>
        <v>385</v>
      </c>
      <c r="F6" s="238">
        <f>'EALObjective  (4)'!F21</f>
        <v>-417</v>
      </c>
      <c r="G6" s="238">
        <f>'EALObjective  (4)'!G21</f>
        <v>290</v>
      </c>
      <c r="H6" s="238">
        <f>SUM(B6:G6)</f>
        <v>11271</v>
      </c>
      <c r="I6" s="21"/>
      <c r="J6" s="22">
        <f>'EALObjective  (4)'!J21</f>
        <v>78</v>
      </c>
      <c r="K6" s="22">
        <f>'EALObjective  (4)'!K21</f>
        <v>-20</v>
      </c>
      <c r="L6" s="22">
        <f>'EALObjective  (4)'!L21</f>
        <v>305.6135816399444</v>
      </c>
      <c r="M6" s="23">
        <f>SUM(H6:L6)</f>
        <v>11634.613581639944</v>
      </c>
      <c r="N6" s="21"/>
      <c r="O6" s="22">
        <f>'EALObjective  (4)'!O21</f>
        <v>85</v>
      </c>
      <c r="P6" s="22">
        <f>'EALObjective  (4)'!P21</f>
        <v>0</v>
      </c>
      <c r="Q6" s="22">
        <f>'EALObjective  (4)'!Q21</f>
        <v>334.93287915878614</v>
      </c>
      <c r="R6" s="22">
        <f>SUM(M6:Q6)</f>
        <v>12054.54646079873</v>
      </c>
      <c r="S6" s="21"/>
      <c r="T6" s="22">
        <f>'EALObjective  (4)'!T21</f>
        <v>87.9</v>
      </c>
      <c r="U6" s="22">
        <f>'EALObjective  (4)'!U21</f>
        <v>0</v>
      </c>
      <c r="V6" s="22">
        <f>'EALObjective  (4)'!V21</f>
        <v>348.09123822849403</v>
      </c>
      <c r="W6" s="22">
        <f>SUM(R6:V6)</f>
        <v>12490.537699027223</v>
      </c>
    </row>
    <row r="7" spans="1:23" ht="24.75" customHeight="1">
      <c r="A7" s="46" t="s">
        <v>62</v>
      </c>
      <c r="B7" s="238">
        <v>94</v>
      </c>
      <c r="C7" s="238"/>
      <c r="D7" s="240">
        <v>1</v>
      </c>
      <c r="E7" s="240"/>
      <c r="F7" s="238"/>
      <c r="G7" s="238">
        <v>3</v>
      </c>
      <c r="H7" s="238">
        <f>SUM(B7:G7)</f>
        <v>98</v>
      </c>
      <c r="I7" s="21"/>
      <c r="J7" s="22"/>
      <c r="K7" s="22"/>
      <c r="L7" s="22"/>
      <c r="M7" s="23">
        <f>SUM(H7:L7)</f>
        <v>98</v>
      </c>
      <c r="N7" s="21"/>
      <c r="O7" s="24"/>
      <c r="P7" s="22"/>
      <c r="Q7" s="22"/>
      <c r="R7" s="22">
        <f>SUM(M7:Q7)</f>
        <v>98</v>
      </c>
      <c r="S7" s="21"/>
      <c r="T7" s="24"/>
      <c r="U7" s="22"/>
      <c r="V7" s="22"/>
      <c r="W7" s="22">
        <f>SUM(R7:V7)</f>
        <v>98</v>
      </c>
    </row>
    <row r="8" spans="1:23" ht="24.75" customHeight="1">
      <c r="A8" s="17" t="s">
        <v>63</v>
      </c>
      <c r="B8" s="238"/>
      <c r="C8" s="241"/>
      <c r="D8" s="240"/>
      <c r="E8" s="240"/>
      <c r="F8" s="238"/>
      <c r="G8" s="238"/>
      <c r="H8" s="238"/>
      <c r="I8" s="21"/>
      <c r="J8" s="22"/>
      <c r="K8" s="22"/>
      <c r="L8" s="22"/>
      <c r="M8" s="23"/>
      <c r="N8" s="21"/>
      <c r="O8" s="24"/>
      <c r="P8" s="22"/>
      <c r="Q8" s="22"/>
      <c r="R8" s="22"/>
      <c r="S8" s="21"/>
      <c r="T8" s="24"/>
      <c r="U8" s="22"/>
      <c r="V8" s="22"/>
      <c r="W8" s="22"/>
    </row>
    <row r="9" spans="1:23" ht="24.75" customHeight="1">
      <c r="A9" s="46" t="s">
        <v>64</v>
      </c>
      <c r="B9" s="242">
        <v>59</v>
      </c>
      <c r="C9" s="241"/>
      <c r="D9" s="240"/>
      <c r="E9" s="240"/>
      <c r="F9" s="238"/>
      <c r="G9" s="238">
        <v>2</v>
      </c>
      <c r="H9" s="238">
        <f aca="true" t="shared" si="0" ref="H9:H14">SUM(B9:G9)</f>
        <v>61</v>
      </c>
      <c r="I9" s="21"/>
      <c r="J9" s="22"/>
      <c r="K9" s="22"/>
      <c r="L9" s="22">
        <f>(H9+J9+K9)*(G9/B9)</f>
        <v>2.0677966101694913</v>
      </c>
      <c r="M9" s="23">
        <f aca="true" t="shared" si="1" ref="M9:M14">SUM(H9:L9)</f>
        <v>63.067796610169495</v>
      </c>
      <c r="N9" s="21"/>
      <c r="O9" s="24"/>
      <c r="P9" s="22"/>
      <c r="Q9" s="22">
        <f>(M9+O9+P9)*(G9/B9)</f>
        <v>2.13789141051422</v>
      </c>
      <c r="R9" s="22">
        <f aca="true" t="shared" si="2" ref="R9:R14">SUM(M9:Q9)</f>
        <v>65.20568802068371</v>
      </c>
      <c r="S9" s="21"/>
      <c r="T9" s="24"/>
      <c r="U9" s="22"/>
      <c r="V9" s="22">
        <f>(R9+T9+U9)*(G9/B9)</f>
        <v>2.2103623057858885</v>
      </c>
      <c r="W9" s="22">
        <f aca="true" t="shared" si="3" ref="W9:W14">SUM(R9:V9)</f>
        <v>67.4160503264696</v>
      </c>
    </row>
    <row r="10" spans="1:23" ht="24.75" customHeight="1">
      <c r="A10" s="20" t="s">
        <v>65</v>
      </c>
      <c r="B10" s="238">
        <v>-85</v>
      </c>
      <c r="C10" s="241"/>
      <c r="D10" s="240"/>
      <c r="E10" s="240"/>
      <c r="F10" s="238"/>
      <c r="G10" s="238">
        <v>-2</v>
      </c>
      <c r="H10" s="238">
        <f t="shared" si="0"/>
        <v>-87</v>
      </c>
      <c r="I10" s="21"/>
      <c r="J10" s="22"/>
      <c r="K10" s="22"/>
      <c r="L10" s="22">
        <f>(H10+J10+K10)*(G10/B10)</f>
        <v>-2.0470588235294116</v>
      </c>
      <c r="M10" s="23">
        <f t="shared" si="1"/>
        <v>-89.04705882352941</v>
      </c>
      <c r="N10" s="21"/>
      <c r="O10" s="24"/>
      <c r="P10" s="22"/>
      <c r="Q10" s="22">
        <f>(M10+O10+P10)*(G10/B10)</f>
        <v>-2.0952249134948095</v>
      </c>
      <c r="R10" s="22">
        <f t="shared" si="2"/>
        <v>-91.14228373702421</v>
      </c>
      <c r="S10" s="21"/>
      <c r="T10" s="24"/>
      <c r="U10" s="22"/>
      <c r="V10" s="22">
        <f>(R10+T10+U10)*(G10/B10)</f>
        <v>-2.144524323224099</v>
      </c>
      <c r="W10" s="22">
        <f t="shared" si="3"/>
        <v>-93.28680806024832</v>
      </c>
    </row>
    <row r="11" spans="1:23" ht="24.75" customHeight="1">
      <c r="A11" s="20" t="s">
        <v>66</v>
      </c>
      <c r="B11" s="238">
        <v>445</v>
      </c>
      <c r="C11" s="241"/>
      <c r="D11" s="240">
        <v>7</v>
      </c>
      <c r="E11" s="240"/>
      <c r="F11" s="238"/>
      <c r="G11" s="238">
        <v>12</v>
      </c>
      <c r="H11" s="238">
        <f t="shared" si="0"/>
        <v>464</v>
      </c>
      <c r="I11" s="21"/>
      <c r="J11" s="22">
        <v>7</v>
      </c>
      <c r="K11" s="22"/>
      <c r="L11" s="22">
        <f>(H11+J11+K11)*(G11/B11)</f>
        <v>12.701123595505619</v>
      </c>
      <c r="M11" s="23">
        <f t="shared" si="1"/>
        <v>483.70112359550563</v>
      </c>
      <c r="N11" s="21"/>
      <c r="O11" s="24">
        <v>7</v>
      </c>
      <c r="P11" s="22"/>
      <c r="Q11" s="22">
        <f>(M11+O11+P11)*(G11/B11)</f>
        <v>13.232389849766445</v>
      </c>
      <c r="R11" s="22">
        <f t="shared" si="2"/>
        <v>503.93351344527207</v>
      </c>
      <c r="S11" s="21"/>
      <c r="T11" s="24">
        <v>7</v>
      </c>
      <c r="U11" s="22"/>
      <c r="V11" s="22">
        <f>(R11+T11+U11)*(G11/B11)</f>
        <v>13.777982385041044</v>
      </c>
      <c r="W11" s="22">
        <f t="shared" si="3"/>
        <v>524.7114958303131</v>
      </c>
    </row>
    <row r="12" spans="1:23" ht="24.75" customHeight="1">
      <c r="A12" s="20" t="s">
        <v>67</v>
      </c>
      <c r="B12" s="238">
        <v>0</v>
      </c>
      <c r="C12" s="241"/>
      <c r="D12" s="240"/>
      <c r="E12" s="240"/>
      <c r="F12" s="238"/>
      <c r="G12" s="238">
        <v>0</v>
      </c>
      <c r="H12" s="238">
        <f t="shared" si="0"/>
        <v>0</v>
      </c>
      <c r="I12" s="21"/>
      <c r="J12" s="22"/>
      <c r="K12" s="22"/>
      <c r="L12" s="22"/>
      <c r="M12" s="23">
        <f t="shared" si="1"/>
        <v>0</v>
      </c>
      <c r="N12" s="21"/>
      <c r="O12" s="24"/>
      <c r="P12" s="22"/>
      <c r="Q12" s="22"/>
      <c r="R12" s="22">
        <f t="shared" si="2"/>
        <v>0</v>
      </c>
      <c r="S12" s="21"/>
      <c r="T12" s="24"/>
      <c r="U12" s="22"/>
      <c r="V12" s="22"/>
      <c r="W12" s="22">
        <f t="shared" si="3"/>
        <v>0</v>
      </c>
    </row>
    <row r="13" spans="1:23" ht="24.75" customHeight="1">
      <c r="A13" s="38" t="s">
        <v>68</v>
      </c>
      <c r="B13" s="238">
        <v>2412</v>
      </c>
      <c r="C13" s="241"/>
      <c r="D13" s="240">
        <v>3</v>
      </c>
      <c r="E13" s="240"/>
      <c r="F13" s="238">
        <v>-40</v>
      </c>
      <c r="G13" s="238">
        <f>65</f>
        <v>65</v>
      </c>
      <c r="H13" s="238">
        <f t="shared" si="0"/>
        <v>2440</v>
      </c>
      <c r="I13" s="21"/>
      <c r="J13" s="22">
        <v>3</v>
      </c>
      <c r="K13" s="22"/>
      <c r="L13" s="22">
        <f>(H13+J13+K13)*(G13/B13)</f>
        <v>65.83540630182421</v>
      </c>
      <c r="M13" s="23">
        <f t="shared" si="1"/>
        <v>2508.835406301824</v>
      </c>
      <c r="N13" s="21"/>
      <c r="O13" s="22">
        <v>3</v>
      </c>
      <c r="P13" s="22"/>
      <c r="Q13" s="22">
        <f>(M13+O13+P13)*(G13/B13)</f>
        <v>67.69042346999112</v>
      </c>
      <c r="R13" s="22">
        <f t="shared" si="2"/>
        <v>2579.525829771815</v>
      </c>
      <c r="S13" s="21"/>
      <c r="T13" s="22">
        <v>4</v>
      </c>
      <c r="U13" s="22"/>
      <c r="V13" s="22">
        <f>(R13+T13+U13)*(G13/B13)</f>
        <v>69.62237932635487</v>
      </c>
      <c r="W13" s="22">
        <f t="shared" si="3"/>
        <v>2653.14820909817</v>
      </c>
    </row>
    <row r="14" spans="1:23" ht="24.75" customHeight="1">
      <c r="A14" s="54" t="s">
        <v>69</v>
      </c>
      <c r="B14" s="243">
        <f>1773+9</f>
        <v>1782</v>
      </c>
      <c r="C14" s="241"/>
      <c r="D14" s="240">
        <f>15+1</f>
        <v>16</v>
      </c>
      <c r="E14" s="240">
        <v>200</v>
      </c>
      <c r="F14" s="238"/>
      <c r="G14" s="238">
        <f>47</f>
        <v>47</v>
      </c>
      <c r="H14" s="238">
        <f t="shared" si="0"/>
        <v>2045</v>
      </c>
      <c r="I14" s="21"/>
      <c r="J14" s="22">
        <f>2+16</f>
        <v>18</v>
      </c>
      <c r="K14" s="22"/>
      <c r="L14" s="22">
        <f>(H14+J14+K14)*(G14/B14)-10</f>
        <v>44.411335578002245</v>
      </c>
      <c r="M14" s="23">
        <f t="shared" si="1"/>
        <v>2107.4113355780023</v>
      </c>
      <c r="N14" s="21"/>
      <c r="O14" s="24">
        <f>2+17</f>
        <v>19</v>
      </c>
      <c r="P14" s="22"/>
      <c r="Q14" s="22">
        <f>(M14+O14+P14)*(G14/B14)</f>
        <v>56.08380065778121</v>
      </c>
      <c r="R14" s="22">
        <f t="shared" si="2"/>
        <v>2182.4951362357833</v>
      </c>
      <c r="S14" s="21"/>
      <c r="T14" s="24">
        <f>2+18</f>
        <v>20</v>
      </c>
      <c r="U14" s="22"/>
      <c r="V14" s="22">
        <f>(R14+T14+U14)*(G14/B14)</f>
        <v>58.090500226196305</v>
      </c>
      <c r="W14" s="22">
        <f t="shared" si="3"/>
        <v>2260.5856364619794</v>
      </c>
    </row>
    <row r="15" spans="1:23" ht="24.75" customHeight="1">
      <c r="A15" s="17" t="s">
        <v>70</v>
      </c>
      <c r="B15" s="238"/>
      <c r="C15" s="239"/>
      <c r="D15" s="240"/>
      <c r="E15" s="244"/>
      <c r="F15" s="238"/>
      <c r="G15" s="238"/>
      <c r="H15" s="238"/>
      <c r="I15" s="21"/>
      <c r="J15" s="22"/>
      <c r="K15" s="22"/>
      <c r="L15" s="22"/>
      <c r="M15" s="23"/>
      <c r="N15" s="21"/>
      <c r="O15" s="24"/>
      <c r="P15" s="22"/>
      <c r="Q15" s="22"/>
      <c r="R15" s="22"/>
      <c r="S15" s="21"/>
      <c r="T15" s="24"/>
      <c r="U15" s="22"/>
      <c r="V15" s="22"/>
      <c r="W15" s="22"/>
    </row>
    <row r="16" spans="1:23" ht="24.75" customHeight="1">
      <c r="A16" s="46" t="s">
        <v>71</v>
      </c>
      <c r="B16" s="238">
        <v>4984</v>
      </c>
      <c r="C16" s="239"/>
      <c r="D16" s="240">
        <v>34</v>
      </c>
      <c r="E16" s="240">
        <f>240-140-37+35-33</f>
        <v>65</v>
      </c>
      <c r="F16" s="238"/>
      <c r="G16" s="238">
        <f>136</f>
        <v>136</v>
      </c>
      <c r="H16" s="238">
        <f>SUM(B16:G16)</f>
        <v>5219</v>
      </c>
      <c r="I16" s="21"/>
      <c r="J16" s="22">
        <v>36</v>
      </c>
      <c r="K16" s="22"/>
      <c r="L16" s="22">
        <f>(H16+J16+K16)*(G16/B16)+1-6</f>
        <v>138.3948635634029</v>
      </c>
      <c r="M16" s="23">
        <f>SUM(H16:L16)</f>
        <v>5393.394863563403</v>
      </c>
      <c r="N16" s="21"/>
      <c r="O16" s="24">
        <v>38</v>
      </c>
      <c r="P16" s="22"/>
      <c r="Q16" s="22">
        <f>(M16+O16+P16)*(G16/B16)-6</f>
        <v>142.2082065498842</v>
      </c>
      <c r="R16" s="22">
        <f>SUM(M16:Q16)</f>
        <v>5573.603070113288</v>
      </c>
      <c r="S16" s="21"/>
      <c r="T16" s="24">
        <v>40</v>
      </c>
      <c r="U16" s="22"/>
      <c r="V16" s="22">
        <f>(R16+T16+U16)*(G16/B16)-6</f>
        <v>147.18018008334815</v>
      </c>
      <c r="W16" s="22">
        <f>SUM(R16:V16)</f>
        <v>5760.783250196636</v>
      </c>
    </row>
    <row r="17" spans="1:23" ht="24.75" customHeight="1">
      <c r="A17" s="46" t="s">
        <v>72</v>
      </c>
      <c r="B17" s="238">
        <v>303</v>
      </c>
      <c r="C17" s="239"/>
      <c r="D17" s="240">
        <v>3</v>
      </c>
      <c r="E17" s="244"/>
      <c r="F17" s="238"/>
      <c r="G17" s="238">
        <f>8</f>
        <v>8</v>
      </c>
      <c r="H17" s="238">
        <f>SUM(B17:G17)</f>
        <v>314</v>
      </c>
      <c r="I17" s="21"/>
      <c r="J17" s="22">
        <v>3</v>
      </c>
      <c r="K17" s="22"/>
      <c r="L17" s="22">
        <f>(H17+J17+K17)*(G17/B17)</f>
        <v>8.36963696369637</v>
      </c>
      <c r="M17" s="23">
        <f>SUM(H17:L17)</f>
        <v>325.3696369636964</v>
      </c>
      <c r="N17" s="21"/>
      <c r="O17" s="24">
        <v>3</v>
      </c>
      <c r="P17" s="22"/>
      <c r="Q17" s="22">
        <f>(M17+O17+P17)*(G17/B17)</f>
        <v>8.669825398381423</v>
      </c>
      <c r="R17" s="22">
        <f>SUM(M17:Q17)</f>
        <v>337.0394623620778</v>
      </c>
      <c r="S17" s="21"/>
      <c r="T17" s="24">
        <v>4</v>
      </c>
      <c r="U17" s="22"/>
      <c r="V17" s="22">
        <f>(R17+T17+U17)*(G17/B17)</f>
        <v>9.004342240582913</v>
      </c>
      <c r="W17" s="22">
        <f>SUM(R17:V17)</f>
        <v>350.0438046026607</v>
      </c>
    </row>
    <row r="18" spans="1:23" ht="24.75" customHeight="1">
      <c r="A18" s="46" t="s">
        <v>73</v>
      </c>
      <c r="B18" s="238">
        <v>399</v>
      </c>
      <c r="C18" s="239"/>
      <c r="D18" s="240">
        <v>1</v>
      </c>
      <c r="E18" s="244"/>
      <c r="F18" s="238"/>
      <c r="G18" s="238">
        <f>12</f>
        <v>12</v>
      </c>
      <c r="H18" s="238">
        <f>SUM(B18:G18)</f>
        <v>412</v>
      </c>
      <c r="I18" s="21"/>
      <c r="J18" s="22">
        <v>2</v>
      </c>
      <c r="K18" s="22"/>
      <c r="L18" s="22">
        <f>(H18+J18+K18)*(G18/B18)</f>
        <v>12.451127819548871</v>
      </c>
      <c r="M18" s="23">
        <f>SUM(H18:L18)</f>
        <v>426.45112781954884</v>
      </c>
      <c r="N18" s="21"/>
      <c r="O18" s="24">
        <v>1</v>
      </c>
      <c r="P18" s="22"/>
      <c r="Q18" s="22">
        <f>(M18+O18+P18)*(G18/B18)</f>
        <v>12.855673017129288</v>
      </c>
      <c r="R18" s="22">
        <f>SUM(M18:Q18)</f>
        <v>440.3068008366781</v>
      </c>
      <c r="S18" s="21"/>
      <c r="T18" s="24">
        <v>2</v>
      </c>
      <c r="U18" s="22"/>
      <c r="V18" s="22">
        <f>(R18+T18+U18)*(G18/B18)</f>
        <v>13.30246017553919</v>
      </c>
      <c r="W18" s="22">
        <f>SUM(R18:V18)</f>
        <v>455.6092610122173</v>
      </c>
    </row>
    <row r="19" spans="1:23" s="35" customFormat="1" ht="24.75" customHeight="1">
      <c r="A19" s="17" t="s">
        <v>74</v>
      </c>
      <c r="B19" s="245">
        <f aca="true" t="shared" si="4" ref="B19:W19">SUM(B6:B18)</f>
        <v>21332</v>
      </c>
      <c r="C19" s="245">
        <f t="shared" si="4"/>
        <v>0</v>
      </c>
      <c r="D19" s="244">
        <f t="shared" si="4"/>
        <v>139</v>
      </c>
      <c r="E19" s="244">
        <f t="shared" si="4"/>
        <v>650</v>
      </c>
      <c r="F19" s="245">
        <f t="shared" si="4"/>
        <v>-457</v>
      </c>
      <c r="G19" s="245">
        <f t="shared" si="4"/>
        <v>573</v>
      </c>
      <c r="H19" s="245">
        <f t="shared" si="4"/>
        <v>22237</v>
      </c>
      <c r="I19" s="40">
        <f t="shared" si="4"/>
        <v>0</v>
      </c>
      <c r="J19" s="40">
        <f t="shared" si="4"/>
        <v>147</v>
      </c>
      <c r="K19" s="40">
        <f t="shared" si="4"/>
        <v>-20</v>
      </c>
      <c r="L19" s="40">
        <f t="shared" si="4"/>
        <v>587.7978132485648</v>
      </c>
      <c r="M19" s="40">
        <f t="shared" si="4"/>
        <v>22951.797813248566</v>
      </c>
      <c r="N19" s="40">
        <f t="shared" si="4"/>
        <v>0</v>
      </c>
      <c r="O19" s="40">
        <f t="shared" si="4"/>
        <v>156</v>
      </c>
      <c r="P19" s="40">
        <f t="shared" si="4"/>
        <v>0</v>
      </c>
      <c r="Q19" s="40">
        <f t="shared" si="4"/>
        <v>635.7158645987392</v>
      </c>
      <c r="R19" s="40">
        <f t="shared" si="4"/>
        <v>23743.513677847306</v>
      </c>
      <c r="S19" s="40">
        <f t="shared" si="4"/>
        <v>0</v>
      </c>
      <c r="T19" s="40">
        <f t="shared" si="4"/>
        <v>164.9</v>
      </c>
      <c r="U19" s="40">
        <f t="shared" si="4"/>
        <v>0</v>
      </c>
      <c r="V19" s="40">
        <f t="shared" si="4"/>
        <v>659.1349206481183</v>
      </c>
      <c r="W19" s="40">
        <f t="shared" si="4"/>
        <v>24567.548598495425</v>
      </c>
    </row>
    <row r="20" spans="1:23" s="57" customFormat="1" ht="24.75" customHeight="1">
      <c r="A20" s="46" t="s">
        <v>75</v>
      </c>
      <c r="B20" s="246">
        <v>0</v>
      </c>
      <c r="C20" s="246"/>
      <c r="D20" s="240">
        <v>0</v>
      </c>
      <c r="E20" s="240">
        <v>0</v>
      </c>
      <c r="F20" s="246">
        <v>0</v>
      </c>
      <c r="G20" s="246">
        <v>0</v>
      </c>
      <c r="H20" s="246">
        <v>0</v>
      </c>
      <c r="I20" s="55"/>
      <c r="J20" s="55">
        <v>0</v>
      </c>
      <c r="K20" s="56">
        <v>-440</v>
      </c>
      <c r="L20" s="55">
        <v>0</v>
      </c>
      <c r="M20" s="56">
        <v>-440</v>
      </c>
      <c r="N20" s="55"/>
      <c r="O20" s="55">
        <v>0</v>
      </c>
      <c r="P20" s="55">
        <v>-469</v>
      </c>
      <c r="Q20" s="55">
        <v>0</v>
      </c>
      <c r="R20" s="40">
        <f>+M20+O20+P20+Q20</f>
        <v>-909</v>
      </c>
      <c r="S20" s="55"/>
      <c r="T20" s="55">
        <v>0</v>
      </c>
      <c r="U20" s="55">
        <v>-469</v>
      </c>
      <c r="V20" s="55"/>
      <c r="W20" s="40">
        <f>+R20+T20+U20+V20</f>
        <v>-1378</v>
      </c>
    </row>
    <row r="21" spans="1:23" s="1" customFormat="1" ht="24.75" customHeight="1">
      <c r="A21" s="203" t="s">
        <v>76</v>
      </c>
      <c r="B21" s="247">
        <f aca="true" t="shared" si="5" ref="B21:W21">B19+B20</f>
        <v>21332</v>
      </c>
      <c r="C21" s="247">
        <f t="shared" si="5"/>
        <v>0</v>
      </c>
      <c r="D21" s="248">
        <f t="shared" si="5"/>
        <v>139</v>
      </c>
      <c r="E21" s="248">
        <f t="shared" si="5"/>
        <v>650</v>
      </c>
      <c r="F21" s="247">
        <f t="shared" si="5"/>
        <v>-457</v>
      </c>
      <c r="G21" s="247">
        <f t="shared" si="5"/>
        <v>573</v>
      </c>
      <c r="H21" s="247">
        <f t="shared" si="5"/>
        <v>22237</v>
      </c>
      <c r="I21" s="204">
        <f t="shared" si="5"/>
        <v>0</v>
      </c>
      <c r="J21" s="204">
        <f t="shared" si="5"/>
        <v>147</v>
      </c>
      <c r="K21" s="204">
        <f t="shared" si="5"/>
        <v>-460</v>
      </c>
      <c r="L21" s="204">
        <f t="shared" si="5"/>
        <v>587.7978132485648</v>
      </c>
      <c r="M21" s="204">
        <f t="shared" si="5"/>
        <v>22511.797813248566</v>
      </c>
      <c r="N21" s="204">
        <f t="shared" si="5"/>
        <v>0</v>
      </c>
      <c r="O21" s="204">
        <f t="shared" si="5"/>
        <v>156</v>
      </c>
      <c r="P21" s="204">
        <f t="shared" si="5"/>
        <v>-469</v>
      </c>
      <c r="Q21" s="204">
        <f t="shared" si="5"/>
        <v>635.7158645987392</v>
      </c>
      <c r="R21" s="204">
        <f t="shared" si="5"/>
        <v>22834.513677847306</v>
      </c>
      <c r="S21" s="204">
        <f t="shared" si="5"/>
        <v>0</v>
      </c>
      <c r="T21" s="204">
        <f t="shared" si="5"/>
        <v>164.9</v>
      </c>
      <c r="U21" s="204">
        <f t="shared" si="5"/>
        <v>-469</v>
      </c>
      <c r="V21" s="204">
        <f t="shared" si="5"/>
        <v>659.1349206481183</v>
      </c>
      <c r="W21" s="204">
        <f t="shared" si="5"/>
        <v>23189.548598495425</v>
      </c>
    </row>
    <row r="22" spans="1:23" s="30" customFormat="1" ht="12.75" customHeight="1">
      <c r="A22" s="31"/>
      <c r="B22" s="32"/>
      <c r="C22" s="32"/>
      <c r="D22" s="32"/>
      <c r="E22" s="33"/>
      <c r="F22" s="33"/>
      <c r="G22" s="33"/>
      <c r="H22" s="34"/>
      <c r="I22" s="32"/>
      <c r="J22" s="33"/>
      <c r="K22" s="33"/>
      <c r="L22" s="33"/>
      <c r="M22" s="33"/>
      <c r="N22" s="33"/>
      <c r="O22" s="32"/>
      <c r="P22" s="32"/>
      <c r="Q22" s="32"/>
      <c r="R22" s="32"/>
      <c r="S22" s="12"/>
      <c r="T22" s="12"/>
      <c r="U22" s="12"/>
      <c r="V22" s="12"/>
      <c r="W22" s="12"/>
    </row>
    <row r="23" spans="1:23" ht="12.75">
      <c r="A23" s="35"/>
      <c r="S23" s="16"/>
      <c r="T23" s="16"/>
      <c r="U23" s="16"/>
      <c r="V23" s="16"/>
      <c r="W23" s="16"/>
    </row>
    <row r="24" ht="12.75">
      <c r="A24" s="35"/>
    </row>
    <row r="25" ht="12.75">
      <c r="A25" s="35"/>
    </row>
    <row r="26" ht="12.75">
      <c r="A26" s="35"/>
    </row>
    <row r="27" ht="12.75">
      <c r="A27" s="35"/>
    </row>
    <row r="28" ht="12.75">
      <c r="A28" s="35"/>
    </row>
    <row r="38" spans="19:23" ht="12.75">
      <c r="S38" s="30"/>
      <c r="T38" s="30"/>
      <c r="U38" s="30"/>
      <c r="V38" s="30"/>
      <c r="W38" s="30"/>
    </row>
    <row r="39" spans="19:23" ht="12.75">
      <c r="S39" s="30"/>
      <c r="T39" s="30"/>
      <c r="U39" s="30"/>
      <c r="V39" s="30"/>
      <c r="W39" s="30"/>
    </row>
  </sheetData>
  <mergeCells count="4">
    <mergeCell ref="J4:M4"/>
    <mergeCell ref="A2:W2"/>
    <mergeCell ref="O4:R4"/>
    <mergeCell ref="D4:H4"/>
  </mergeCells>
  <printOptions/>
  <pageMargins left="0.54" right="0.18" top="1" bottom="0.64" header="0.5" footer="0.45"/>
  <pageSetup fitToHeight="1" fitToWidth="1" horizontalDpi="600" verticalDpi="600" orientation="landscape" paperSize="9" scale="64" r:id="rId2"/>
  <headerFooter alignWithMargins="0">
    <oddHeader>&amp;R&amp;"Arial,Bold"&amp;8APPENDIX C</oddHeader>
    <oddFooter>&amp;L&amp;F\&amp;A&amp;R&amp;9 97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workbookViewId="0" topLeftCell="A4">
      <selection activeCell="G13" sqref="G13"/>
    </sheetView>
  </sheetViews>
  <sheetFormatPr defaultColWidth="9.140625" defaultRowHeight="18" customHeight="1"/>
  <cols>
    <col min="1" max="1" width="33.57421875" style="36" customWidth="1"/>
    <col min="2" max="2" width="9.7109375" style="36" customWidth="1"/>
    <col min="3" max="3" width="0.2890625" style="36" hidden="1" customWidth="1"/>
    <col min="4" max="4" width="7.140625" style="36" customWidth="1"/>
    <col min="5" max="5" width="7.00390625" style="36" customWidth="1"/>
    <col min="6" max="6" width="7.421875" style="36" customWidth="1"/>
    <col min="7" max="7" width="7.00390625" style="36" customWidth="1"/>
    <col min="8" max="8" width="8.00390625" style="36" customWidth="1"/>
    <col min="9" max="9" width="6.57421875" style="36" customWidth="1"/>
    <col min="10" max="10" width="7.7109375" style="36" customWidth="1"/>
    <col min="11" max="11" width="7.28125" style="36" customWidth="1"/>
    <col min="12" max="12" width="8.7109375" style="36" customWidth="1"/>
    <col min="13" max="13" width="6.57421875" style="36" customWidth="1"/>
    <col min="14" max="14" width="7.28125" style="36" customWidth="1"/>
    <col min="15" max="15" width="7.8515625" style="36" customWidth="1"/>
    <col min="16" max="16" width="8.00390625" style="36" customWidth="1"/>
    <col min="17" max="17" width="6.57421875" style="36" customWidth="1"/>
    <col min="18" max="18" width="7.140625" style="36" customWidth="1"/>
    <col min="19" max="19" width="7.7109375" style="36" customWidth="1"/>
    <col min="20" max="20" width="8.421875" style="36" customWidth="1"/>
    <col min="21" max="16384" width="9.140625" style="36" customWidth="1"/>
  </cols>
  <sheetData>
    <row r="1" spans="1:20" ht="18" customHeight="1">
      <c r="A1" s="149" t="s">
        <v>168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3" ht="18" customHeight="1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0" ht="18" customHeight="1">
      <c r="A3" s="130"/>
      <c r="B3" s="130"/>
      <c r="C3" s="130"/>
      <c r="D3" s="130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4" spans="1:20" s="146" customFormat="1" ht="18" customHeight="1">
      <c r="A4" s="267" t="s">
        <v>6</v>
      </c>
      <c r="B4" s="213" t="s">
        <v>78</v>
      </c>
      <c r="C4" s="145" t="s">
        <v>78</v>
      </c>
      <c r="D4" s="266" t="s">
        <v>2</v>
      </c>
      <c r="E4" s="266"/>
      <c r="F4" s="266"/>
      <c r="G4" s="266"/>
      <c r="H4" s="266"/>
      <c r="I4" s="266" t="s">
        <v>3</v>
      </c>
      <c r="J4" s="266"/>
      <c r="K4" s="266"/>
      <c r="L4" s="266"/>
      <c r="M4" s="266" t="s">
        <v>79</v>
      </c>
      <c r="N4" s="266"/>
      <c r="O4" s="266"/>
      <c r="P4" s="266"/>
      <c r="Q4" s="218" t="s">
        <v>80</v>
      </c>
      <c r="R4" s="218"/>
      <c r="S4" s="218"/>
      <c r="T4" s="218"/>
    </row>
    <row r="5" spans="1:20" s="146" customFormat="1" ht="24" customHeight="1">
      <c r="A5" s="268"/>
      <c r="B5" s="214" t="s">
        <v>154</v>
      </c>
      <c r="C5" s="147"/>
      <c r="D5" s="259" t="s">
        <v>183</v>
      </c>
      <c r="E5" s="259" t="s">
        <v>201</v>
      </c>
      <c r="F5" s="259" t="s">
        <v>202</v>
      </c>
      <c r="G5" s="259" t="s">
        <v>203</v>
      </c>
      <c r="H5" s="262" t="s">
        <v>215</v>
      </c>
      <c r="I5" s="264" t="s">
        <v>210</v>
      </c>
      <c r="J5" s="259" t="s">
        <v>204</v>
      </c>
      <c r="K5" s="259" t="s">
        <v>214</v>
      </c>
      <c r="L5" s="262" t="s">
        <v>205</v>
      </c>
      <c r="M5" s="264" t="s">
        <v>211</v>
      </c>
      <c r="N5" s="259" t="s">
        <v>206</v>
      </c>
      <c r="O5" s="259" t="s">
        <v>207</v>
      </c>
      <c r="P5" s="262" t="s">
        <v>216</v>
      </c>
      <c r="Q5" s="264" t="s">
        <v>212</v>
      </c>
      <c r="R5" s="259" t="s">
        <v>208</v>
      </c>
      <c r="S5" s="259" t="s">
        <v>209</v>
      </c>
      <c r="T5" s="262" t="s">
        <v>217</v>
      </c>
    </row>
    <row r="6" spans="1:20" s="148" customFormat="1" ht="38.25">
      <c r="A6" s="269"/>
      <c r="B6" s="215" t="s">
        <v>182</v>
      </c>
      <c r="D6" s="260"/>
      <c r="E6" s="260"/>
      <c r="F6" s="260"/>
      <c r="G6" s="261"/>
      <c r="H6" s="263"/>
      <c r="I6" s="265"/>
      <c r="J6" s="260"/>
      <c r="K6" s="261"/>
      <c r="L6" s="263"/>
      <c r="M6" s="265"/>
      <c r="N6" s="260"/>
      <c r="O6" s="261"/>
      <c r="P6" s="263"/>
      <c r="Q6" s="265"/>
      <c r="R6" s="260"/>
      <c r="S6" s="261"/>
      <c r="T6" s="263"/>
    </row>
    <row r="7" spans="1:20" s="146" customFormat="1" ht="22.5" customHeight="1">
      <c r="A7" s="55" t="s">
        <v>155</v>
      </c>
      <c r="B7" s="198">
        <f>'[2]Subjective (4)'!$B$20</f>
        <v>359</v>
      </c>
      <c r="C7" s="159"/>
      <c r="D7" s="158">
        <v>18</v>
      </c>
      <c r="E7" s="158">
        <f>'[2]Subjective (4)'!$D$20</f>
        <v>0</v>
      </c>
      <c r="F7" s="158">
        <f>'[2]Subjective (4)'!$E$20</f>
        <v>-44</v>
      </c>
      <c r="G7" s="158">
        <v>30</v>
      </c>
      <c r="H7" s="219">
        <f aca="true" t="shared" si="0" ref="H7:H19">SUM(B7:G7)</f>
        <v>363</v>
      </c>
      <c r="I7" s="160">
        <v>19</v>
      </c>
      <c r="J7" s="158">
        <f>'[2]Subjective (4)'!$J$20</f>
        <v>0</v>
      </c>
      <c r="K7" s="158">
        <v>30</v>
      </c>
      <c r="L7" s="198">
        <f aca="true" t="shared" si="1" ref="L7:L19">SUM(H7:K7)</f>
        <v>412</v>
      </c>
      <c r="M7" s="160">
        <v>20</v>
      </c>
      <c r="N7" s="158">
        <f>'[2]Subjective (4)'!$O$20</f>
        <v>0</v>
      </c>
      <c r="O7" s="158">
        <v>37</v>
      </c>
      <c r="P7" s="198">
        <f aca="true" t="shared" si="2" ref="P7:P19">SUM(L7:O7)</f>
        <v>469</v>
      </c>
      <c r="Q7" s="160">
        <v>21</v>
      </c>
      <c r="R7" s="158">
        <f>'[2]Subjective (4)'!$T$20</f>
        <v>0</v>
      </c>
      <c r="S7" s="158">
        <v>39</v>
      </c>
      <c r="T7" s="198">
        <f aca="true" t="shared" si="3" ref="T7:T19">SUM(P7:S7)</f>
        <v>529</v>
      </c>
    </row>
    <row r="8" spans="1:20" s="146" customFormat="1" ht="22.5" customHeight="1">
      <c r="A8" s="55" t="s">
        <v>156</v>
      </c>
      <c r="B8" s="198">
        <f>'[9]Subjective (4)'!$B$20</f>
        <v>347</v>
      </c>
      <c r="C8" s="159"/>
      <c r="D8" s="158">
        <v>7</v>
      </c>
      <c r="E8" s="158">
        <f>'[9]Subjective (4)'!$D$20</f>
        <v>0</v>
      </c>
      <c r="F8" s="158">
        <f>'[9]Subjective (4)'!$E$20</f>
        <v>-20</v>
      </c>
      <c r="G8" s="158">
        <v>47</v>
      </c>
      <c r="H8" s="219">
        <f t="shared" si="0"/>
        <v>381</v>
      </c>
      <c r="I8" s="160">
        <v>8</v>
      </c>
      <c r="J8" s="158">
        <v>-20</v>
      </c>
      <c r="K8" s="158">
        <v>48</v>
      </c>
      <c r="L8" s="198">
        <f t="shared" si="1"/>
        <v>417</v>
      </c>
      <c r="M8" s="160">
        <v>8</v>
      </c>
      <c r="N8" s="158">
        <f>'[9]Subjective (4)'!$O$20</f>
        <v>0</v>
      </c>
      <c r="O8" s="158">
        <v>51</v>
      </c>
      <c r="P8" s="198">
        <f t="shared" si="2"/>
        <v>476</v>
      </c>
      <c r="Q8" s="160">
        <v>9</v>
      </c>
      <c r="R8" s="158">
        <f>'[9]Subjective (4)'!$T$20</f>
        <v>0</v>
      </c>
      <c r="S8" s="158">
        <v>56</v>
      </c>
      <c r="T8" s="198">
        <f t="shared" si="3"/>
        <v>541</v>
      </c>
    </row>
    <row r="9" spans="1:20" s="146" customFormat="1" ht="22.5" customHeight="1">
      <c r="A9" s="55" t="s">
        <v>157</v>
      </c>
      <c r="B9" s="198">
        <f>'[6]Subjective (4)'!$B$20</f>
        <v>992</v>
      </c>
      <c r="C9" s="159"/>
      <c r="D9" s="158">
        <v>19</v>
      </c>
      <c r="E9" s="158">
        <f>'[6]Subjective (4)'!$D$20</f>
        <v>0</v>
      </c>
      <c r="F9" s="158">
        <f>'[6]Subjective (4)'!$E$20</f>
        <v>-71</v>
      </c>
      <c r="G9" s="158">
        <v>80</v>
      </c>
      <c r="H9" s="219">
        <f t="shared" si="0"/>
        <v>1020</v>
      </c>
      <c r="I9" s="160">
        <v>19</v>
      </c>
      <c r="J9" s="158">
        <v>-43</v>
      </c>
      <c r="K9" s="158">
        <v>71</v>
      </c>
      <c r="L9" s="198">
        <f t="shared" si="1"/>
        <v>1067</v>
      </c>
      <c r="M9" s="160">
        <v>21</v>
      </c>
      <c r="N9" s="158">
        <f>'[6]Subjective (4)'!$O$20</f>
        <v>0</v>
      </c>
      <c r="O9" s="158">
        <v>79</v>
      </c>
      <c r="P9" s="198">
        <f t="shared" si="2"/>
        <v>1167</v>
      </c>
      <c r="Q9" s="160">
        <v>21</v>
      </c>
      <c r="R9" s="158">
        <f>'[6]Subjective (4)'!$T$20</f>
        <v>0</v>
      </c>
      <c r="S9" s="158">
        <v>73</v>
      </c>
      <c r="T9" s="198">
        <f t="shared" si="3"/>
        <v>1261</v>
      </c>
    </row>
    <row r="10" spans="1:20" s="146" customFormat="1" ht="22.5" customHeight="1">
      <c r="A10" s="55" t="s">
        <v>158</v>
      </c>
      <c r="B10" s="198">
        <f>'[10]Subjective (4)'!$B$20</f>
        <v>2959</v>
      </c>
      <c r="C10" s="159"/>
      <c r="D10" s="158">
        <v>22</v>
      </c>
      <c r="E10" s="158">
        <v>0</v>
      </c>
      <c r="F10" s="158">
        <v>-10</v>
      </c>
      <c r="G10" s="158">
        <v>70</v>
      </c>
      <c r="H10" s="219">
        <f t="shared" si="0"/>
        <v>3041</v>
      </c>
      <c r="I10" s="160">
        <v>23</v>
      </c>
      <c r="J10" s="158">
        <v>-20</v>
      </c>
      <c r="K10" s="158">
        <v>70</v>
      </c>
      <c r="L10" s="198">
        <f t="shared" si="1"/>
        <v>3114</v>
      </c>
      <c r="M10" s="160">
        <v>24</v>
      </c>
      <c r="N10" s="158">
        <f>'[10]Subjective (4)'!$O$20</f>
        <v>0</v>
      </c>
      <c r="O10" s="158">
        <v>75</v>
      </c>
      <c r="P10" s="198">
        <f t="shared" si="2"/>
        <v>3213</v>
      </c>
      <c r="Q10" s="160">
        <v>26</v>
      </c>
      <c r="R10" s="158">
        <f>'[10]Subjective (4)'!$T$20</f>
        <v>0</v>
      </c>
      <c r="S10" s="158">
        <v>99</v>
      </c>
      <c r="T10" s="198">
        <f t="shared" si="3"/>
        <v>3338</v>
      </c>
    </row>
    <row r="11" spans="1:20" s="146" customFormat="1" ht="22.5" customHeight="1">
      <c r="A11" s="55" t="s">
        <v>159</v>
      </c>
      <c r="B11" s="198">
        <f>'[4]Subjective (4)'!$B$20</f>
        <v>550</v>
      </c>
      <c r="C11" s="159"/>
      <c r="D11" s="158">
        <f>204+169</f>
        <v>373</v>
      </c>
      <c r="E11" s="158">
        <v>0</v>
      </c>
      <c r="F11" s="158">
        <v>0</v>
      </c>
      <c r="G11" s="158">
        <v>22</v>
      </c>
      <c r="H11" s="219">
        <f t="shared" si="0"/>
        <v>945</v>
      </c>
      <c r="I11" s="160">
        <v>10</v>
      </c>
      <c r="J11" s="158">
        <v>-26</v>
      </c>
      <c r="K11" s="158">
        <v>23</v>
      </c>
      <c r="L11" s="198">
        <f t="shared" si="1"/>
        <v>952</v>
      </c>
      <c r="M11" s="160">
        <v>11</v>
      </c>
      <c r="N11" s="158">
        <f>'[4]Subjective (4)'!$O$20</f>
        <v>0</v>
      </c>
      <c r="O11" s="158">
        <v>25</v>
      </c>
      <c r="P11" s="198">
        <f t="shared" si="2"/>
        <v>988</v>
      </c>
      <c r="Q11" s="160">
        <v>12</v>
      </c>
      <c r="R11" s="158">
        <f>'[4]Subjective (4)'!$T$20</f>
        <v>0</v>
      </c>
      <c r="S11" s="158">
        <v>40</v>
      </c>
      <c r="T11" s="198">
        <f t="shared" si="3"/>
        <v>1040</v>
      </c>
    </row>
    <row r="12" spans="1:20" s="146" customFormat="1" ht="22.5" customHeight="1">
      <c r="A12" s="55" t="s">
        <v>160</v>
      </c>
      <c r="B12" s="198">
        <f>'[7]Subjective (4)'!$B$20</f>
        <v>2858</v>
      </c>
      <c r="C12" s="159"/>
      <c r="D12" s="158">
        <v>33</v>
      </c>
      <c r="E12" s="158">
        <f>'[7]Subjective (4)'!$D$20</f>
        <v>0</v>
      </c>
      <c r="F12" s="158">
        <f>-52+20</f>
        <v>-32</v>
      </c>
      <c r="G12" s="158">
        <v>70</v>
      </c>
      <c r="H12" s="219">
        <f t="shared" si="0"/>
        <v>2929</v>
      </c>
      <c r="I12" s="160">
        <v>35</v>
      </c>
      <c r="J12" s="158">
        <v>-18</v>
      </c>
      <c r="K12" s="158">
        <v>71</v>
      </c>
      <c r="L12" s="198">
        <f t="shared" si="1"/>
        <v>3017</v>
      </c>
      <c r="M12" s="160">
        <v>37</v>
      </c>
      <c r="N12" s="158">
        <f>'[7]Subjective (4)'!$O$20</f>
        <v>0</v>
      </c>
      <c r="O12" s="158">
        <v>76</v>
      </c>
      <c r="P12" s="198">
        <f t="shared" si="2"/>
        <v>3130</v>
      </c>
      <c r="Q12" s="160">
        <v>39</v>
      </c>
      <c r="R12" s="158">
        <f>'[7]Subjective (4)'!$T$20</f>
        <v>0</v>
      </c>
      <c r="S12" s="158">
        <v>99</v>
      </c>
      <c r="T12" s="198">
        <f t="shared" si="3"/>
        <v>3268</v>
      </c>
    </row>
    <row r="13" spans="1:20" s="146" customFormat="1" ht="22.5" customHeight="1">
      <c r="A13" s="55" t="s">
        <v>161</v>
      </c>
      <c r="B13" s="198">
        <f>'[1]Subjective (4)'!$B$20</f>
        <v>2038</v>
      </c>
      <c r="C13" s="159"/>
      <c r="D13" s="158">
        <v>22</v>
      </c>
      <c r="E13" s="158">
        <f>'[1]Subjective (4)'!$D$20</f>
        <v>0</v>
      </c>
      <c r="F13" s="158">
        <v>-319</v>
      </c>
      <c r="G13" s="158">
        <v>51</v>
      </c>
      <c r="H13" s="219">
        <f t="shared" si="0"/>
        <v>1792</v>
      </c>
      <c r="I13" s="160">
        <v>23</v>
      </c>
      <c r="J13" s="158">
        <v>-16</v>
      </c>
      <c r="K13" s="158">
        <v>61</v>
      </c>
      <c r="L13" s="198">
        <f t="shared" si="1"/>
        <v>1860</v>
      </c>
      <c r="M13" s="160">
        <v>24</v>
      </c>
      <c r="N13" s="158">
        <f>'[1]Subjective (4)'!$O$20</f>
        <v>0</v>
      </c>
      <c r="O13" s="158">
        <v>63</v>
      </c>
      <c r="P13" s="198">
        <f t="shared" si="2"/>
        <v>1947</v>
      </c>
      <c r="Q13" s="160">
        <v>26</v>
      </c>
      <c r="R13" s="158">
        <f>'[1]Subjective (4)'!$T$20</f>
        <v>0</v>
      </c>
      <c r="S13" s="158">
        <v>79</v>
      </c>
      <c r="T13" s="198">
        <f t="shared" si="3"/>
        <v>2052</v>
      </c>
    </row>
    <row r="14" spans="1:20" s="146" customFormat="1" ht="22.5" customHeight="1">
      <c r="A14" s="55" t="s">
        <v>162</v>
      </c>
      <c r="B14" s="216">
        <f>'[8]Subjective (4)'!$B$20</f>
        <v>329</v>
      </c>
      <c r="C14" s="159"/>
      <c r="D14" s="158">
        <v>7</v>
      </c>
      <c r="E14" s="158">
        <f>'[8]Subjective (4)'!$D$20</f>
        <v>0</v>
      </c>
      <c r="F14" s="158">
        <f>'[8]Subjective (4)'!$E$20</f>
        <v>-16</v>
      </c>
      <c r="G14" s="158">
        <v>24</v>
      </c>
      <c r="H14" s="219">
        <f t="shared" si="0"/>
        <v>344</v>
      </c>
      <c r="I14" s="160">
        <v>8</v>
      </c>
      <c r="J14" s="158">
        <v>-16</v>
      </c>
      <c r="K14" s="158">
        <v>26</v>
      </c>
      <c r="L14" s="198">
        <f t="shared" si="1"/>
        <v>362</v>
      </c>
      <c r="M14" s="160">
        <v>8</v>
      </c>
      <c r="N14" s="158">
        <f>'[8]Subjective (4)'!$O$20</f>
        <v>0</v>
      </c>
      <c r="O14" s="158">
        <v>28</v>
      </c>
      <c r="P14" s="198">
        <f t="shared" si="2"/>
        <v>398</v>
      </c>
      <c r="Q14" s="160">
        <v>9</v>
      </c>
      <c r="R14" s="158">
        <f>'[8]Subjective (4)'!$T$20</f>
        <v>0</v>
      </c>
      <c r="S14" s="158">
        <v>31</v>
      </c>
      <c r="T14" s="198">
        <f t="shared" si="3"/>
        <v>438</v>
      </c>
    </row>
    <row r="15" spans="1:20" s="146" customFormat="1" ht="22.5" customHeight="1">
      <c r="A15" s="55" t="s">
        <v>163</v>
      </c>
      <c r="B15" s="216">
        <f>'[12]Subjective (3)'!$B$17</f>
        <v>2595</v>
      </c>
      <c r="C15" s="159"/>
      <c r="D15" s="158">
        <v>6</v>
      </c>
      <c r="E15" s="158">
        <f>'[12]Subjective (3)'!$D$17</f>
        <v>0</v>
      </c>
      <c r="F15" s="158">
        <f>'[12]Subjective (3)'!$E$17</f>
        <v>0</v>
      </c>
      <c r="G15" s="158">
        <v>62</v>
      </c>
      <c r="H15" s="219">
        <f>SUM(B15:G15)</f>
        <v>2663</v>
      </c>
      <c r="I15" s="160">
        <v>7</v>
      </c>
      <c r="J15" s="158">
        <v>-88</v>
      </c>
      <c r="K15" s="158">
        <v>77</v>
      </c>
      <c r="L15" s="198">
        <f t="shared" si="1"/>
        <v>2659</v>
      </c>
      <c r="M15" s="160">
        <v>7</v>
      </c>
      <c r="N15" s="158">
        <f>'[12]Subjective (3)'!$O$17</f>
        <v>0</v>
      </c>
      <c r="O15" s="158">
        <v>80</v>
      </c>
      <c r="P15" s="198">
        <f t="shared" si="2"/>
        <v>2746</v>
      </c>
      <c r="Q15" s="160">
        <v>8</v>
      </c>
      <c r="R15" s="158">
        <f>'[12]Subjective (3)'!$T$17</f>
        <v>0</v>
      </c>
      <c r="S15" s="158">
        <v>89</v>
      </c>
      <c r="T15" s="198">
        <f t="shared" si="3"/>
        <v>2843</v>
      </c>
    </row>
    <row r="16" spans="1:20" s="146" customFormat="1" ht="22.5" customHeight="1">
      <c r="A16" s="55" t="s">
        <v>164</v>
      </c>
      <c r="B16" s="198">
        <f>'[3]Subjective (4)'!$B$22</f>
        <v>16723</v>
      </c>
      <c r="C16" s="159"/>
      <c r="D16" s="158">
        <f>36</f>
        <v>36</v>
      </c>
      <c r="E16" s="158">
        <f>'[3]Subjective (4)'!$D$22-400</f>
        <v>1534</v>
      </c>
      <c r="F16" s="158">
        <v>-96</v>
      </c>
      <c r="G16" s="158">
        <v>374</v>
      </c>
      <c r="H16" s="219">
        <f t="shared" si="0"/>
        <v>18571</v>
      </c>
      <c r="I16" s="160">
        <v>39</v>
      </c>
      <c r="J16" s="158">
        <v>-99</v>
      </c>
      <c r="K16" s="158">
        <v>401</v>
      </c>
      <c r="L16" s="198">
        <f t="shared" si="1"/>
        <v>18912</v>
      </c>
      <c r="M16" s="160">
        <v>41</v>
      </c>
      <c r="N16" s="158">
        <f>'[3]Subjective (4)'!$O$22</f>
        <v>0</v>
      </c>
      <c r="O16" s="158">
        <v>414</v>
      </c>
      <c r="P16" s="198">
        <f t="shared" si="2"/>
        <v>19367</v>
      </c>
      <c r="Q16" s="160">
        <v>43</v>
      </c>
      <c r="R16" s="158">
        <f>'[3]Subjective (4)'!$T$22</f>
        <v>0</v>
      </c>
      <c r="S16" s="158">
        <v>463</v>
      </c>
      <c r="T16" s="198">
        <f t="shared" si="3"/>
        <v>19873</v>
      </c>
    </row>
    <row r="17" spans="1:20" s="146" customFormat="1" ht="22.5" customHeight="1">
      <c r="A17" s="55" t="s">
        <v>165</v>
      </c>
      <c r="B17" s="198">
        <f>'[5]Subjective (4)'!$B$20</f>
        <v>997</v>
      </c>
      <c r="C17" s="159"/>
      <c r="D17" s="158">
        <v>9</v>
      </c>
      <c r="E17" s="158">
        <f>'[5]Subjective (4)'!$D$20</f>
        <v>0</v>
      </c>
      <c r="F17" s="158">
        <v>0</v>
      </c>
      <c r="G17" s="158">
        <v>33</v>
      </c>
      <c r="H17" s="219">
        <f t="shared" si="0"/>
        <v>1039</v>
      </c>
      <c r="I17" s="160">
        <v>9</v>
      </c>
      <c r="J17" s="158">
        <f>'[2]Subjective (4)'!$J$20</f>
        <v>0</v>
      </c>
      <c r="K17" s="158">
        <v>34</v>
      </c>
      <c r="L17" s="198">
        <f t="shared" si="1"/>
        <v>1082</v>
      </c>
      <c r="M17" s="160">
        <v>10</v>
      </c>
      <c r="N17" s="158">
        <f>'[5]Subjective (4)'!$O$20</f>
        <v>0</v>
      </c>
      <c r="O17" s="158">
        <v>33</v>
      </c>
      <c r="P17" s="198">
        <f t="shared" si="2"/>
        <v>1125</v>
      </c>
      <c r="Q17" s="160">
        <v>10</v>
      </c>
      <c r="R17" s="158">
        <f>'[5]Subjective (4)'!$T$20</f>
        <v>0</v>
      </c>
      <c r="S17" s="158">
        <v>46</v>
      </c>
      <c r="T17" s="198">
        <f t="shared" si="3"/>
        <v>1181</v>
      </c>
    </row>
    <row r="18" spans="1:20" s="146" customFormat="1" ht="22.5" customHeight="1">
      <c r="A18" s="55" t="s">
        <v>166</v>
      </c>
      <c r="B18" s="198">
        <f>'[11]Subjective (4)'!$B$20</f>
        <v>1528</v>
      </c>
      <c r="C18" s="159"/>
      <c r="D18" s="158">
        <v>32</v>
      </c>
      <c r="E18" s="158">
        <f>'[11]Subjective (4)'!$D$20</f>
        <v>10</v>
      </c>
      <c r="F18" s="158">
        <f>'[11]Subjective (4)'!$E$20</f>
        <v>-219</v>
      </c>
      <c r="G18" s="158">
        <v>140</v>
      </c>
      <c r="H18" s="219">
        <f t="shared" si="0"/>
        <v>1491</v>
      </c>
      <c r="I18" s="160">
        <v>34</v>
      </c>
      <c r="J18" s="158">
        <v>-282</v>
      </c>
      <c r="K18" s="158">
        <v>133</v>
      </c>
      <c r="L18" s="198">
        <f t="shared" si="1"/>
        <v>1376</v>
      </c>
      <c r="M18" s="160">
        <v>36</v>
      </c>
      <c r="N18" s="158">
        <f>'[11]Subjective (4)'!$O$20</f>
        <v>0</v>
      </c>
      <c r="O18" s="158">
        <v>135</v>
      </c>
      <c r="P18" s="198">
        <f t="shared" si="2"/>
        <v>1547</v>
      </c>
      <c r="Q18" s="160">
        <v>38</v>
      </c>
      <c r="R18" s="158">
        <f>'[11]Subjective (4)'!$T$20</f>
        <v>0</v>
      </c>
      <c r="S18" s="158">
        <v>137</v>
      </c>
      <c r="T18" s="198">
        <f t="shared" si="3"/>
        <v>1722</v>
      </c>
    </row>
    <row r="19" spans="1:20" s="146" customFormat="1" ht="22.5" customHeight="1">
      <c r="A19" s="55" t="s">
        <v>167</v>
      </c>
      <c r="B19" s="198">
        <f>'[13]Subjective (4)'!$B$20</f>
        <v>0</v>
      </c>
      <c r="C19" s="159"/>
      <c r="D19" s="158">
        <v>5</v>
      </c>
      <c r="E19" s="158">
        <f>'[13]Subjective (4)'!$D$20</f>
        <v>0</v>
      </c>
      <c r="F19" s="158">
        <f>'[13]Subjective (4)'!$E$20</f>
        <v>-199</v>
      </c>
      <c r="G19" s="158">
        <v>-5</v>
      </c>
      <c r="H19" s="219">
        <f t="shared" si="0"/>
        <v>-199</v>
      </c>
      <c r="I19" s="160">
        <v>5</v>
      </c>
      <c r="J19" s="158">
        <v>-112</v>
      </c>
      <c r="K19" s="158">
        <v>-5</v>
      </c>
      <c r="L19" s="198">
        <f t="shared" si="1"/>
        <v>-311</v>
      </c>
      <c r="M19" s="160">
        <v>6</v>
      </c>
      <c r="N19" s="160">
        <f>'[13]Subjective (4)'!$O$20</f>
        <v>0</v>
      </c>
      <c r="O19" s="160">
        <v>-6</v>
      </c>
      <c r="P19" s="198">
        <f t="shared" si="2"/>
        <v>-311</v>
      </c>
      <c r="Q19" s="160">
        <v>6</v>
      </c>
      <c r="R19" s="160">
        <f>'[13]Subjective (4)'!$T$20</f>
        <v>0</v>
      </c>
      <c r="S19" s="160">
        <v>-6</v>
      </c>
      <c r="T19" s="198">
        <f t="shared" si="3"/>
        <v>-311</v>
      </c>
    </row>
    <row r="20" spans="1:20" s="129" customFormat="1" ht="12.75">
      <c r="A20" s="58" t="s">
        <v>236</v>
      </c>
      <c r="B20" s="200">
        <f>SUM(B7:B19)</f>
        <v>32275</v>
      </c>
      <c r="C20" s="161"/>
      <c r="D20" s="155">
        <f aca="true" t="shared" si="4" ref="D20:T20">SUM(D7:D19)</f>
        <v>589</v>
      </c>
      <c r="E20" s="155">
        <f t="shared" si="4"/>
        <v>1544</v>
      </c>
      <c r="F20" s="155">
        <f t="shared" si="4"/>
        <v>-1026</v>
      </c>
      <c r="G20" s="155">
        <f t="shared" si="4"/>
        <v>998</v>
      </c>
      <c r="H20" s="200">
        <f t="shared" si="4"/>
        <v>34380</v>
      </c>
      <c r="I20" s="161">
        <f t="shared" si="4"/>
        <v>239</v>
      </c>
      <c r="J20" s="155">
        <f t="shared" si="4"/>
        <v>-740</v>
      </c>
      <c r="K20" s="155">
        <f t="shared" si="4"/>
        <v>1040</v>
      </c>
      <c r="L20" s="200">
        <f t="shared" si="4"/>
        <v>34919</v>
      </c>
      <c r="M20" s="161">
        <f t="shared" si="4"/>
        <v>253</v>
      </c>
      <c r="N20" s="155">
        <f t="shared" si="4"/>
        <v>0</v>
      </c>
      <c r="O20" s="155">
        <f t="shared" si="4"/>
        <v>1090</v>
      </c>
      <c r="P20" s="200">
        <f t="shared" si="4"/>
        <v>36262</v>
      </c>
      <c r="Q20" s="161">
        <f t="shared" si="4"/>
        <v>268</v>
      </c>
      <c r="R20" s="155">
        <f t="shared" si="4"/>
        <v>0</v>
      </c>
      <c r="S20" s="155">
        <f t="shared" si="4"/>
        <v>1245</v>
      </c>
      <c r="T20" s="200">
        <f t="shared" si="4"/>
        <v>37775</v>
      </c>
    </row>
    <row r="21" spans="1:20" s="146" customFormat="1" ht="22.5" customHeight="1">
      <c r="A21" s="46" t="s">
        <v>75</v>
      </c>
      <c r="B21" s="198">
        <v>0</v>
      </c>
      <c r="C21" s="159"/>
      <c r="D21" s="158"/>
      <c r="E21" s="158"/>
      <c r="F21" s="158"/>
      <c r="G21" s="158"/>
      <c r="H21" s="219">
        <f>SUM(B21:G21)</f>
        <v>0</v>
      </c>
      <c r="I21" s="160"/>
      <c r="J21" s="160">
        <v>-30</v>
      </c>
      <c r="K21" s="158"/>
      <c r="L21" s="198">
        <f>SUM(H21:K21)</f>
        <v>-30</v>
      </c>
      <c r="M21" s="160"/>
      <c r="N21" s="160">
        <v>-962</v>
      </c>
      <c r="O21" s="160"/>
      <c r="P21" s="198">
        <f>SUM(L21:O21)</f>
        <v>-992</v>
      </c>
      <c r="Q21" s="160"/>
      <c r="R21" s="160">
        <v>-962</v>
      </c>
      <c r="S21" s="160">
        <v>-97</v>
      </c>
      <c r="T21" s="198">
        <f>SUM(P21:S21)</f>
        <v>-2051</v>
      </c>
    </row>
    <row r="22" spans="1:20" s="146" customFormat="1" ht="22.5" customHeight="1">
      <c r="A22" s="207" t="s">
        <v>237</v>
      </c>
      <c r="B22" s="217">
        <f>SUM(B20:B21)</f>
        <v>32275</v>
      </c>
      <c r="C22" s="209"/>
      <c r="D22" s="208">
        <f aca="true" t="shared" si="5" ref="D22:T22">SUM(D20:D21)</f>
        <v>589</v>
      </c>
      <c r="E22" s="208">
        <f t="shared" si="5"/>
        <v>1544</v>
      </c>
      <c r="F22" s="208">
        <f t="shared" si="5"/>
        <v>-1026</v>
      </c>
      <c r="G22" s="208">
        <f t="shared" si="5"/>
        <v>998</v>
      </c>
      <c r="H22" s="217">
        <f t="shared" si="5"/>
        <v>34380</v>
      </c>
      <c r="I22" s="209">
        <f t="shared" si="5"/>
        <v>239</v>
      </c>
      <c r="J22" s="208">
        <f t="shared" si="5"/>
        <v>-770</v>
      </c>
      <c r="K22" s="208">
        <f t="shared" si="5"/>
        <v>1040</v>
      </c>
      <c r="L22" s="217">
        <f t="shared" si="5"/>
        <v>34889</v>
      </c>
      <c r="M22" s="209">
        <f t="shared" si="5"/>
        <v>253</v>
      </c>
      <c r="N22" s="208">
        <f t="shared" si="5"/>
        <v>-962</v>
      </c>
      <c r="O22" s="208">
        <f t="shared" si="5"/>
        <v>1090</v>
      </c>
      <c r="P22" s="217">
        <f t="shared" si="5"/>
        <v>35270</v>
      </c>
      <c r="Q22" s="209">
        <f t="shared" si="5"/>
        <v>268</v>
      </c>
      <c r="R22" s="208">
        <f t="shared" si="5"/>
        <v>-962</v>
      </c>
      <c r="S22" s="208">
        <f t="shared" si="5"/>
        <v>1148</v>
      </c>
      <c r="T22" s="217">
        <f t="shared" si="5"/>
        <v>35724</v>
      </c>
    </row>
    <row r="23" s="146" customFormat="1" ht="22.5" customHeight="1">
      <c r="A23" s="206"/>
    </row>
    <row r="24" spans="1:2" s="146" customFormat="1" ht="12.75">
      <c r="A24" s="35"/>
      <c r="B24" s="100"/>
    </row>
    <row r="25" s="146" customFormat="1" ht="12.75">
      <c r="A25" s="35"/>
    </row>
    <row r="26" s="146" customFormat="1" ht="12.75">
      <c r="A26" s="35"/>
    </row>
    <row r="27" s="146" customFormat="1" ht="12.75">
      <c r="A27" s="35"/>
    </row>
    <row r="28" s="146" customFormat="1" ht="12.75">
      <c r="A28" s="35"/>
    </row>
    <row r="29" s="146" customFormat="1" ht="12.75">
      <c r="A29" s="35"/>
    </row>
    <row r="30" s="146" customFormat="1" ht="18" customHeight="1"/>
    <row r="31" s="146" customFormat="1" ht="18" customHeight="1"/>
    <row r="32" s="146" customFormat="1" ht="18" customHeight="1"/>
    <row r="33" s="146" customFormat="1" ht="18" customHeight="1"/>
    <row r="34" s="146" customFormat="1" ht="18" customHeight="1"/>
    <row r="35" s="146" customFormat="1" ht="18" customHeight="1"/>
    <row r="36" s="146" customFormat="1" ht="18" customHeight="1"/>
    <row r="37" s="146" customFormat="1" ht="18" customHeight="1"/>
    <row r="38" s="146" customFormat="1" ht="18" customHeight="1"/>
    <row r="39" s="146" customFormat="1" ht="18" customHeight="1"/>
    <row r="40" s="146" customFormat="1" ht="18" customHeight="1"/>
    <row r="41" s="146" customFormat="1" ht="18" customHeight="1"/>
    <row r="42" s="146" customFormat="1" ht="18" customHeight="1"/>
    <row r="43" s="146" customFormat="1" ht="18" customHeight="1"/>
    <row r="44" s="146" customFormat="1" ht="18" customHeight="1"/>
    <row r="45" s="146" customFormat="1" ht="18" customHeight="1"/>
    <row r="46" s="146" customFormat="1" ht="18" customHeight="1"/>
    <row r="47" s="146" customFormat="1" ht="18" customHeight="1"/>
    <row r="48" s="146" customFormat="1" ht="18" customHeight="1"/>
    <row r="49" s="146" customFormat="1" ht="18" customHeight="1"/>
    <row r="50" s="146" customFormat="1" ht="18" customHeight="1"/>
    <row r="51" s="146" customFormat="1" ht="18" customHeight="1"/>
    <row r="52" s="146" customFormat="1" ht="18" customHeight="1"/>
    <row r="53" s="146" customFormat="1" ht="18" customHeight="1"/>
  </sheetData>
  <mergeCells count="22">
    <mergeCell ref="D4:H4"/>
    <mergeCell ref="D5:D6"/>
    <mergeCell ref="A4:A6"/>
    <mergeCell ref="A2:W2"/>
    <mergeCell ref="T5:T6"/>
    <mergeCell ref="P5:P6"/>
    <mergeCell ref="Q5:Q6"/>
    <mergeCell ref="R5:R6"/>
    <mergeCell ref="S5:S6"/>
    <mergeCell ref="L5:L6"/>
    <mergeCell ref="M5:M6"/>
    <mergeCell ref="N5:N6"/>
    <mergeCell ref="O5:O6"/>
    <mergeCell ref="I4:L4"/>
    <mergeCell ref="M4:P4"/>
    <mergeCell ref="I5:I6"/>
    <mergeCell ref="J5:J6"/>
    <mergeCell ref="K5:K6"/>
    <mergeCell ref="E5:E6"/>
    <mergeCell ref="F5:F6"/>
    <mergeCell ref="G5:G6"/>
    <mergeCell ref="H5:H6"/>
  </mergeCells>
  <printOptions horizontalCentered="1"/>
  <pageMargins left="0.7874015748031497" right="0" top="0.984251968503937" bottom="0.6299212598425197" header="0.5118110236220472" footer="0.4330708661417323"/>
  <pageSetup fitToHeight="1" fitToWidth="1" horizontalDpi="600" verticalDpi="600" orientation="landscape" paperSize="9" scale="70" r:id="rId1"/>
  <headerFooter alignWithMargins="0">
    <oddHeader>&amp;R&amp;"Arial,Bold"&amp;8APPENDIX C</oddHeader>
    <oddFooter>&amp;L&amp;F\&amp;A&amp;R&amp;9 98</oddFooter>
  </headerFooter>
  <ignoredErrors>
    <ignoredError sqref="H20 L20 P20 T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workbookViewId="0" topLeftCell="A1">
      <selection activeCell="G36" sqref="G36"/>
    </sheetView>
  </sheetViews>
  <sheetFormatPr defaultColWidth="9.140625" defaultRowHeight="12.75"/>
  <cols>
    <col min="1" max="1" width="24.7109375" style="0" customWidth="1"/>
    <col min="2" max="2" width="12.140625" style="97" hidden="1" customWidth="1"/>
    <col min="3" max="4" width="10.00390625" style="71" customWidth="1"/>
    <col min="5" max="5" width="7.57421875" style="0" customWidth="1"/>
    <col min="6" max="6" width="8.140625" style="0" customWidth="1"/>
    <col min="7" max="7" width="8.140625" style="2" customWidth="1"/>
    <col min="8" max="9" width="10.140625" style="72" customWidth="1"/>
    <col min="10" max="10" width="8.140625" style="2" customWidth="1"/>
    <col min="11" max="11" width="8.421875" style="2" customWidth="1"/>
    <col min="12" max="13" width="10.140625" style="72" customWidth="1"/>
    <col min="14" max="14" width="8.140625" style="0" customWidth="1"/>
    <col min="15" max="15" width="8.421875" style="0" customWidth="1"/>
    <col min="16" max="17" width="10.140625" style="35" customWidth="1"/>
    <col min="18" max="18" width="8.140625" style="0" customWidth="1"/>
    <col min="19" max="19" width="8.421875" style="0" customWidth="1"/>
    <col min="20" max="20" width="10.421875" style="35" customWidth="1"/>
  </cols>
  <sheetData>
    <row r="1" spans="1:2" ht="15.75">
      <c r="A1" s="1" t="s">
        <v>169</v>
      </c>
      <c r="B1" s="70"/>
    </row>
    <row r="2" spans="1:22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4" spans="1:20" s="12" customFormat="1" ht="15.75">
      <c r="A4" s="270" t="s">
        <v>6</v>
      </c>
      <c r="B4" s="73"/>
      <c r="C4" s="108" t="s">
        <v>78</v>
      </c>
      <c r="D4" s="273" t="s">
        <v>2</v>
      </c>
      <c r="E4" s="274"/>
      <c r="F4" s="274"/>
      <c r="G4" s="274"/>
      <c r="H4" s="275"/>
      <c r="I4" s="276" t="s">
        <v>3</v>
      </c>
      <c r="J4" s="276"/>
      <c r="K4" s="276"/>
      <c r="L4" s="276"/>
      <c r="M4" s="277" t="s">
        <v>79</v>
      </c>
      <c r="N4" s="276"/>
      <c r="O4" s="276"/>
      <c r="P4" s="278"/>
      <c r="Q4" s="276" t="s">
        <v>80</v>
      </c>
      <c r="R4" s="276"/>
      <c r="S4" s="276"/>
      <c r="T4" s="279"/>
    </row>
    <row r="5" spans="1:20" ht="12.75">
      <c r="A5" s="271"/>
      <c r="B5" s="74"/>
      <c r="C5" s="109" t="s">
        <v>98</v>
      </c>
      <c r="D5" s="114"/>
      <c r="E5" s="102"/>
      <c r="F5" s="102"/>
      <c r="G5" s="102"/>
      <c r="H5" s="115" t="s">
        <v>99</v>
      </c>
      <c r="I5" s="112"/>
      <c r="J5" s="102"/>
      <c r="K5" s="102"/>
      <c r="L5" s="124" t="s">
        <v>99</v>
      </c>
      <c r="M5" s="114"/>
      <c r="N5" s="102"/>
      <c r="O5" s="102"/>
      <c r="P5" s="115" t="s">
        <v>99</v>
      </c>
      <c r="Q5" s="112"/>
      <c r="R5" s="102"/>
      <c r="S5" s="102"/>
      <c r="T5" s="101" t="s">
        <v>99</v>
      </c>
    </row>
    <row r="6" spans="1:20" s="16" customFormat="1" ht="12.75" customHeight="1">
      <c r="A6" s="271"/>
      <c r="B6" s="13"/>
      <c r="C6" s="110" t="s">
        <v>99</v>
      </c>
      <c r="D6" s="116"/>
      <c r="E6" s="14" t="s">
        <v>100</v>
      </c>
      <c r="F6" s="14" t="s">
        <v>100</v>
      </c>
      <c r="G6" s="61"/>
      <c r="H6" s="117" t="s">
        <v>101</v>
      </c>
      <c r="I6" s="77"/>
      <c r="J6" s="75" t="s">
        <v>100</v>
      </c>
      <c r="K6" s="61"/>
      <c r="L6" s="111" t="s">
        <v>101</v>
      </c>
      <c r="M6" s="118"/>
      <c r="N6" s="75" t="s">
        <v>100</v>
      </c>
      <c r="O6" s="61"/>
      <c r="P6" s="117" t="s">
        <v>101</v>
      </c>
      <c r="Q6" s="77"/>
      <c r="R6" s="75" t="s">
        <v>100</v>
      </c>
      <c r="S6" s="61"/>
      <c r="T6" s="15" t="s">
        <v>101</v>
      </c>
    </row>
    <row r="7" spans="1:20" s="16" customFormat="1" ht="12.75" customHeight="1">
      <c r="A7" s="271"/>
      <c r="B7" s="13"/>
      <c r="C7" s="111" t="s">
        <v>102</v>
      </c>
      <c r="D7" s="118" t="s">
        <v>103</v>
      </c>
      <c r="E7" s="14" t="s">
        <v>104</v>
      </c>
      <c r="F7" s="14" t="s">
        <v>105</v>
      </c>
      <c r="G7" s="61" t="s">
        <v>106</v>
      </c>
      <c r="H7" s="117" t="s">
        <v>107</v>
      </c>
      <c r="I7" s="77" t="s">
        <v>103</v>
      </c>
      <c r="J7" s="14" t="s">
        <v>105</v>
      </c>
      <c r="K7" s="61" t="s">
        <v>106</v>
      </c>
      <c r="L7" s="111" t="s">
        <v>108</v>
      </c>
      <c r="M7" s="118" t="s">
        <v>103</v>
      </c>
      <c r="N7" s="14" t="s">
        <v>105</v>
      </c>
      <c r="O7" s="61" t="s">
        <v>106</v>
      </c>
      <c r="P7" s="117" t="s">
        <v>109</v>
      </c>
      <c r="Q7" s="77" t="s">
        <v>103</v>
      </c>
      <c r="R7" s="14" t="s">
        <v>105</v>
      </c>
      <c r="S7" s="61" t="s">
        <v>106</v>
      </c>
      <c r="T7" s="15" t="s">
        <v>110</v>
      </c>
    </row>
    <row r="8" spans="1:20" s="16" customFormat="1" ht="18.75" customHeight="1">
      <c r="A8" s="271"/>
      <c r="B8" s="13"/>
      <c r="C8" s="110" t="s">
        <v>111</v>
      </c>
      <c r="D8" s="116" t="s">
        <v>111</v>
      </c>
      <c r="E8" s="76" t="s">
        <v>111</v>
      </c>
      <c r="F8" s="76" t="s">
        <v>111</v>
      </c>
      <c r="G8" s="76" t="s">
        <v>111</v>
      </c>
      <c r="H8" s="119" t="s">
        <v>111</v>
      </c>
      <c r="I8" s="78" t="s">
        <v>111</v>
      </c>
      <c r="J8" s="76" t="s">
        <v>111</v>
      </c>
      <c r="K8" s="76" t="s">
        <v>213</v>
      </c>
      <c r="L8" s="110" t="s">
        <v>111</v>
      </c>
      <c r="M8" s="116" t="s">
        <v>111</v>
      </c>
      <c r="N8" s="76" t="s">
        <v>111</v>
      </c>
      <c r="O8" s="76" t="s">
        <v>111</v>
      </c>
      <c r="P8" s="119" t="s">
        <v>111</v>
      </c>
      <c r="Q8" s="78" t="s">
        <v>111</v>
      </c>
      <c r="R8" s="76" t="s">
        <v>111</v>
      </c>
      <c r="S8" s="76" t="s">
        <v>111</v>
      </c>
      <c r="T8" s="76" t="s">
        <v>111</v>
      </c>
    </row>
    <row r="9" spans="1:20" s="16" customFormat="1" ht="12.75">
      <c r="A9" s="272"/>
      <c r="B9" s="79"/>
      <c r="C9" s="80" t="s">
        <v>112</v>
      </c>
      <c r="D9" s="120" t="s">
        <v>113</v>
      </c>
      <c r="E9" s="103" t="s">
        <v>114</v>
      </c>
      <c r="F9" s="104" t="s">
        <v>115</v>
      </c>
      <c r="G9" s="105" t="s">
        <v>116</v>
      </c>
      <c r="H9" s="121" t="s">
        <v>117</v>
      </c>
      <c r="I9" s="113" t="s">
        <v>118</v>
      </c>
      <c r="J9" s="104" t="s">
        <v>119</v>
      </c>
      <c r="K9" s="103" t="s">
        <v>120</v>
      </c>
      <c r="L9" s="81" t="s">
        <v>121</v>
      </c>
      <c r="M9" s="126" t="s">
        <v>122</v>
      </c>
      <c r="N9" s="104" t="s">
        <v>123</v>
      </c>
      <c r="O9" s="105" t="s">
        <v>124</v>
      </c>
      <c r="P9" s="121" t="s">
        <v>125</v>
      </c>
      <c r="Q9" s="125" t="s">
        <v>126</v>
      </c>
      <c r="R9" s="104" t="s">
        <v>127</v>
      </c>
      <c r="S9" s="105" t="s">
        <v>128</v>
      </c>
      <c r="T9" s="105" t="s">
        <v>129</v>
      </c>
    </row>
    <row r="10" spans="1:20" ht="12.75">
      <c r="A10" s="82" t="s">
        <v>130</v>
      </c>
      <c r="B10" s="83"/>
      <c r="C10" s="90"/>
      <c r="D10" s="122"/>
      <c r="E10" s="106"/>
      <c r="F10" s="106"/>
      <c r="G10" s="107" t="s">
        <v>131</v>
      </c>
      <c r="H10" s="123"/>
      <c r="I10" s="85"/>
      <c r="J10" s="106"/>
      <c r="K10" s="106"/>
      <c r="L10" s="90"/>
      <c r="M10" s="122"/>
      <c r="N10" s="106"/>
      <c r="O10" s="106"/>
      <c r="P10" s="127"/>
      <c r="Q10" s="85"/>
      <c r="R10" s="106"/>
      <c r="S10" s="106"/>
      <c r="T10" s="84"/>
    </row>
    <row r="11" spans="1:20" ht="12.75" customHeight="1">
      <c r="A11" s="86" t="s">
        <v>132</v>
      </c>
      <c r="B11" s="87"/>
      <c r="C11" s="220">
        <v>35</v>
      </c>
      <c r="D11" s="163">
        <v>0</v>
      </c>
      <c r="E11" s="164">
        <v>0</v>
      </c>
      <c r="F11" s="164">
        <v>0</v>
      </c>
      <c r="G11" s="151">
        <v>1</v>
      </c>
      <c r="H11" s="226">
        <f aca="true" t="shared" si="0" ref="H11:H16">SUM(C11:G11)</f>
        <v>36</v>
      </c>
      <c r="I11" s="166">
        <v>0</v>
      </c>
      <c r="J11" s="151">
        <v>0</v>
      </c>
      <c r="K11" s="151">
        <v>1</v>
      </c>
      <c r="L11" s="220">
        <f aca="true" t="shared" si="1" ref="L11:L16">SUM(H11:K11)</f>
        <v>37</v>
      </c>
      <c r="M11" s="163">
        <v>0</v>
      </c>
      <c r="N11" s="151">
        <v>0</v>
      </c>
      <c r="O11" s="151">
        <v>1</v>
      </c>
      <c r="P11" s="226">
        <f aca="true" t="shared" si="2" ref="P11:P16">SUM(L11:O11)</f>
        <v>38</v>
      </c>
      <c r="Q11" s="166">
        <v>0</v>
      </c>
      <c r="R11" s="151">
        <v>0</v>
      </c>
      <c r="S11" s="151">
        <v>1</v>
      </c>
      <c r="T11" s="167">
        <f aca="true" t="shared" si="3" ref="T11:T16">SUM(P11:S11)</f>
        <v>39</v>
      </c>
    </row>
    <row r="12" spans="1:20" s="57" customFormat="1" ht="12.75">
      <c r="A12" s="88" t="s">
        <v>133</v>
      </c>
      <c r="B12" s="89">
        <v>0</v>
      </c>
      <c r="C12" s="220">
        <v>67</v>
      </c>
      <c r="D12" s="163">
        <v>0</v>
      </c>
      <c r="E12" s="167">
        <v>0</v>
      </c>
      <c r="F12" s="164">
        <v>-10</v>
      </c>
      <c r="G12" s="167">
        <v>6</v>
      </c>
      <c r="H12" s="226">
        <f t="shared" si="0"/>
        <v>63</v>
      </c>
      <c r="I12" s="166">
        <v>0</v>
      </c>
      <c r="J12" s="167">
        <f>-14+10</f>
        <v>-4</v>
      </c>
      <c r="K12" s="167">
        <v>6</v>
      </c>
      <c r="L12" s="220">
        <f t="shared" si="1"/>
        <v>65</v>
      </c>
      <c r="M12" s="163">
        <v>0</v>
      </c>
      <c r="N12" s="167">
        <v>0</v>
      </c>
      <c r="O12" s="167">
        <v>6</v>
      </c>
      <c r="P12" s="226">
        <f t="shared" si="2"/>
        <v>71</v>
      </c>
      <c r="Q12" s="166">
        <v>0</v>
      </c>
      <c r="R12" s="167">
        <v>0</v>
      </c>
      <c r="S12" s="167">
        <v>6</v>
      </c>
      <c r="T12" s="167">
        <f t="shared" si="3"/>
        <v>77</v>
      </c>
    </row>
    <row r="13" spans="1:20" ht="12.75">
      <c r="A13" s="86" t="s">
        <v>134</v>
      </c>
      <c r="B13" s="87"/>
      <c r="C13" s="220">
        <f>3814-30</f>
        <v>3784</v>
      </c>
      <c r="D13" s="163">
        <v>49</v>
      </c>
      <c r="E13" s="164">
        <v>0</v>
      </c>
      <c r="F13" s="164">
        <v>0</v>
      </c>
      <c r="G13" s="151">
        <f>108</f>
        <v>108</v>
      </c>
      <c r="H13" s="226">
        <f t="shared" si="0"/>
        <v>3941</v>
      </c>
      <c r="I13" s="166">
        <v>52</v>
      </c>
      <c r="J13" s="151">
        <v>0</v>
      </c>
      <c r="K13" s="151">
        <f>111</f>
        <v>111</v>
      </c>
      <c r="L13" s="220">
        <f t="shared" si="1"/>
        <v>4104</v>
      </c>
      <c r="M13" s="163">
        <v>55</v>
      </c>
      <c r="N13" s="151">
        <v>0</v>
      </c>
      <c r="O13" s="151">
        <f>114</f>
        <v>114</v>
      </c>
      <c r="P13" s="226">
        <f t="shared" si="2"/>
        <v>4273</v>
      </c>
      <c r="Q13" s="166">
        <v>58</v>
      </c>
      <c r="R13" s="151">
        <v>0</v>
      </c>
      <c r="S13" s="151">
        <f>117</f>
        <v>117</v>
      </c>
      <c r="T13" s="167">
        <f t="shared" si="3"/>
        <v>4448</v>
      </c>
    </row>
    <row r="14" spans="1:20" ht="12.75">
      <c r="A14" s="86" t="s">
        <v>135</v>
      </c>
      <c r="B14" s="87"/>
      <c r="C14" s="220">
        <v>5507</v>
      </c>
      <c r="D14" s="163">
        <v>407</v>
      </c>
      <c r="E14" s="164">
        <v>0</v>
      </c>
      <c r="F14" s="164">
        <f>-281+10+199</f>
        <v>-72</v>
      </c>
      <c r="G14" s="151">
        <v>0</v>
      </c>
      <c r="H14" s="226">
        <f t="shared" si="0"/>
        <v>5842</v>
      </c>
      <c r="I14" s="166">
        <v>0</v>
      </c>
      <c r="J14" s="151">
        <f>-335-10</f>
        <v>-345</v>
      </c>
      <c r="K14" s="151">
        <v>0</v>
      </c>
      <c r="L14" s="220">
        <f t="shared" si="1"/>
        <v>5497</v>
      </c>
      <c r="M14" s="163">
        <v>0</v>
      </c>
      <c r="N14" s="151">
        <v>0</v>
      </c>
      <c r="O14" s="151">
        <v>0</v>
      </c>
      <c r="P14" s="226">
        <f t="shared" si="2"/>
        <v>5497</v>
      </c>
      <c r="Q14" s="166">
        <v>0</v>
      </c>
      <c r="R14" s="151">
        <v>0</v>
      </c>
      <c r="S14" s="151">
        <v>0</v>
      </c>
      <c r="T14" s="167">
        <f t="shared" si="3"/>
        <v>5497</v>
      </c>
    </row>
    <row r="15" spans="1:20" s="2" customFormat="1" ht="12.75">
      <c r="A15" s="86" t="s">
        <v>136</v>
      </c>
      <c r="B15" s="87"/>
      <c r="C15" s="220">
        <v>-173</v>
      </c>
      <c r="D15" s="163">
        <v>0</v>
      </c>
      <c r="E15" s="164">
        <v>0</v>
      </c>
      <c r="F15" s="164">
        <v>-4</v>
      </c>
      <c r="G15" s="151">
        <v>0</v>
      </c>
      <c r="H15" s="226">
        <f t="shared" si="0"/>
        <v>-177</v>
      </c>
      <c r="I15" s="166">
        <v>0</v>
      </c>
      <c r="J15" s="151">
        <v>-4</v>
      </c>
      <c r="K15" s="151">
        <v>0</v>
      </c>
      <c r="L15" s="220">
        <f t="shared" si="1"/>
        <v>-181</v>
      </c>
      <c r="M15" s="163">
        <v>0</v>
      </c>
      <c r="N15" s="151">
        <v>0</v>
      </c>
      <c r="O15" s="151">
        <v>0</v>
      </c>
      <c r="P15" s="226">
        <f t="shared" si="2"/>
        <v>-181</v>
      </c>
      <c r="Q15" s="166">
        <v>0</v>
      </c>
      <c r="R15" s="151">
        <v>0</v>
      </c>
      <c r="S15" s="151">
        <v>0</v>
      </c>
      <c r="T15" s="167">
        <f t="shared" si="3"/>
        <v>-181</v>
      </c>
    </row>
    <row r="16" spans="1:20" ht="12.75">
      <c r="A16" s="86" t="s">
        <v>137</v>
      </c>
      <c r="B16" s="87">
        <v>0</v>
      </c>
      <c r="C16" s="221">
        <v>99</v>
      </c>
      <c r="D16" s="168">
        <v>0</v>
      </c>
      <c r="E16" s="169">
        <v>0</v>
      </c>
      <c r="F16" s="169">
        <v>-2</v>
      </c>
      <c r="G16" s="170">
        <v>0</v>
      </c>
      <c r="H16" s="227">
        <f t="shared" si="0"/>
        <v>97</v>
      </c>
      <c r="I16" s="171">
        <v>0</v>
      </c>
      <c r="J16" s="170">
        <v>-2</v>
      </c>
      <c r="K16" s="170">
        <v>0</v>
      </c>
      <c r="L16" s="221">
        <f t="shared" si="1"/>
        <v>95</v>
      </c>
      <c r="M16" s="168">
        <v>0</v>
      </c>
      <c r="N16" s="170">
        <v>0</v>
      </c>
      <c r="O16" s="170">
        <v>0</v>
      </c>
      <c r="P16" s="227">
        <f t="shared" si="2"/>
        <v>95</v>
      </c>
      <c r="Q16" s="171">
        <v>0</v>
      </c>
      <c r="R16" s="170">
        <v>0</v>
      </c>
      <c r="S16" s="170">
        <v>0</v>
      </c>
      <c r="T16" s="230">
        <f t="shared" si="3"/>
        <v>95</v>
      </c>
    </row>
    <row r="17" spans="1:20" s="35" customFormat="1" ht="12.75">
      <c r="A17" s="90" t="s">
        <v>138</v>
      </c>
      <c r="B17" s="91"/>
      <c r="C17" s="162">
        <f aca="true" t="shared" si="4" ref="C17:T17">SUM(C11:C16)</f>
        <v>9319</v>
      </c>
      <c r="D17" s="233">
        <f t="shared" si="4"/>
        <v>456</v>
      </c>
      <c r="E17" s="156">
        <f t="shared" si="4"/>
        <v>0</v>
      </c>
      <c r="F17" s="156">
        <f t="shared" si="4"/>
        <v>-88</v>
      </c>
      <c r="G17" s="156">
        <f t="shared" si="4"/>
        <v>115</v>
      </c>
      <c r="H17" s="165">
        <f t="shared" si="4"/>
        <v>9802</v>
      </c>
      <c r="I17" s="172">
        <f t="shared" si="4"/>
        <v>52</v>
      </c>
      <c r="J17" s="156">
        <f t="shared" si="4"/>
        <v>-355</v>
      </c>
      <c r="K17" s="156">
        <f t="shared" si="4"/>
        <v>118</v>
      </c>
      <c r="L17" s="162">
        <f t="shared" si="4"/>
        <v>9617</v>
      </c>
      <c r="M17" s="173">
        <f t="shared" si="4"/>
        <v>55</v>
      </c>
      <c r="N17" s="156">
        <f t="shared" si="4"/>
        <v>0</v>
      </c>
      <c r="O17" s="156">
        <f t="shared" si="4"/>
        <v>121</v>
      </c>
      <c r="P17" s="165">
        <f t="shared" si="4"/>
        <v>9793</v>
      </c>
      <c r="Q17" s="172">
        <f t="shared" si="4"/>
        <v>58</v>
      </c>
      <c r="R17" s="156">
        <f t="shared" si="4"/>
        <v>0</v>
      </c>
      <c r="S17" s="156">
        <f t="shared" si="4"/>
        <v>124</v>
      </c>
      <c r="T17" s="156">
        <f t="shared" si="4"/>
        <v>9975</v>
      </c>
    </row>
    <row r="18" spans="1:20" ht="12.75">
      <c r="A18" s="86"/>
      <c r="B18" s="87"/>
      <c r="C18" s="222"/>
      <c r="D18" s="174"/>
      <c r="E18" s="175"/>
      <c r="F18" s="176"/>
      <c r="G18" s="177"/>
      <c r="H18" s="228"/>
      <c r="I18" s="178"/>
      <c r="J18" s="177"/>
      <c r="K18" s="177"/>
      <c r="L18" s="222"/>
      <c r="M18" s="174"/>
      <c r="N18" s="177"/>
      <c r="O18" s="177"/>
      <c r="P18" s="228"/>
      <c r="Q18" s="178"/>
      <c r="R18" s="177"/>
      <c r="S18" s="177"/>
      <c r="T18" s="231"/>
    </row>
    <row r="19" spans="1:20" ht="12.75">
      <c r="A19" s="82" t="s">
        <v>139</v>
      </c>
      <c r="B19" s="83"/>
      <c r="C19" s="220"/>
      <c r="D19" s="173"/>
      <c r="E19" s="179"/>
      <c r="F19" s="164"/>
      <c r="G19" s="151"/>
      <c r="H19" s="226"/>
      <c r="I19" s="172"/>
      <c r="J19" s="151"/>
      <c r="K19" s="180"/>
      <c r="L19" s="220"/>
      <c r="M19" s="173"/>
      <c r="N19" s="151"/>
      <c r="O19" s="180"/>
      <c r="P19" s="226"/>
      <c r="Q19" s="172"/>
      <c r="R19" s="151"/>
      <c r="S19" s="180"/>
      <c r="T19" s="167"/>
    </row>
    <row r="20" spans="1:20" ht="12.75">
      <c r="A20" s="86" t="s">
        <v>140</v>
      </c>
      <c r="B20" s="87"/>
      <c r="C20" s="220">
        <f>951-4</f>
        <v>947</v>
      </c>
      <c r="D20" s="163">
        <v>7</v>
      </c>
      <c r="E20" s="151">
        <v>164</v>
      </c>
      <c r="F20" s="151">
        <v>-20</v>
      </c>
      <c r="G20" s="151">
        <f>25</f>
        <v>25</v>
      </c>
      <c r="H20" s="226">
        <f aca="true" t="shared" si="5" ref="H20:H26">SUM(C20:G20)</f>
        <v>1123</v>
      </c>
      <c r="I20" s="166">
        <v>6</v>
      </c>
      <c r="J20" s="151">
        <v>-20</v>
      </c>
      <c r="K20" s="151">
        <f>25</f>
        <v>25</v>
      </c>
      <c r="L20" s="220">
        <f aca="true" t="shared" si="6" ref="L20:L26">SUM(H20:K20)</f>
        <v>1134</v>
      </c>
      <c r="M20" s="163">
        <v>8</v>
      </c>
      <c r="N20" s="151">
        <v>0</v>
      </c>
      <c r="O20" s="151">
        <f>27</f>
        <v>27</v>
      </c>
      <c r="P20" s="226">
        <f aca="true" t="shared" si="7" ref="P20:P26">SUM(L20:O20)</f>
        <v>1169</v>
      </c>
      <c r="Q20" s="166">
        <v>8</v>
      </c>
      <c r="R20" s="151">
        <v>0</v>
      </c>
      <c r="S20" s="151">
        <f>28</f>
        <v>28</v>
      </c>
      <c r="T20" s="167">
        <f aca="true" t="shared" si="8" ref="T20:T26">SUM(P20:S20)</f>
        <v>1205</v>
      </c>
    </row>
    <row r="21" spans="1:20" s="57" customFormat="1" ht="12.75">
      <c r="A21" s="88" t="s">
        <v>141</v>
      </c>
      <c r="B21" s="89"/>
      <c r="C21" s="220">
        <f>326-5</f>
        <v>321</v>
      </c>
      <c r="D21" s="163">
        <v>8</v>
      </c>
      <c r="E21" s="151">
        <v>0</v>
      </c>
      <c r="F21" s="151">
        <v>-7</v>
      </c>
      <c r="G21" s="151">
        <f>9</f>
        <v>9</v>
      </c>
      <c r="H21" s="226">
        <f t="shared" si="5"/>
        <v>331</v>
      </c>
      <c r="I21" s="166">
        <v>9</v>
      </c>
      <c r="J21" s="167">
        <v>-7</v>
      </c>
      <c r="K21" s="151">
        <f>9</f>
        <v>9</v>
      </c>
      <c r="L21" s="220">
        <f t="shared" si="6"/>
        <v>342</v>
      </c>
      <c r="M21" s="163">
        <v>9</v>
      </c>
      <c r="N21" s="167">
        <v>0</v>
      </c>
      <c r="O21" s="151">
        <f>9</f>
        <v>9</v>
      </c>
      <c r="P21" s="226">
        <f t="shared" si="7"/>
        <v>360</v>
      </c>
      <c r="Q21" s="166">
        <v>10</v>
      </c>
      <c r="R21" s="167">
        <v>0</v>
      </c>
      <c r="S21" s="151">
        <f>9</f>
        <v>9</v>
      </c>
      <c r="T21" s="167">
        <f t="shared" si="8"/>
        <v>379</v>
      </c>
    </row>
    <row r="22" spans="1:20" ht="12.75">
      <c r="A22" s="86" t="s">
        <v>142</v>
      </c>
      <c r="B22" s="87"/>
      <c r="C22" s="220">
        <v>192</v>
      </c>
      <c r="D22" s="163">
        <v>0</v>
      </c>
      <c r="E22" s="151">
        <v>0</v>
      </c>
      <c r="F22" s="151">
        <v>0</v>
      </c>
      <c r="G22" s="151">
        <v>1</v>
      </c>
      <c r="H22" s="226">
        <f t="shared" si="5"/>
        <v>193</v>
      </c>
      <c r="I22" s="166">
        <v>0</v>
      </c>
      <c r="J22" s="151">
        <v>0</v>
      </c>
      <c r="K22" s="151">
        <v>1</v>
      </c>
      <c r="L22" s="220">
        <f t="shared" si="6"/>
        <v>194</v>
      </c>
      <c r="M22" s="163">
        <v>0</v>
      </c>
      <c r="N22" s="151">
        <v>0</v>
      </c>
      <c r="O22" s="151">
        <v>1</v>
      </c>
      <c r="P22" s="226">
        <f t="shared" si="7"/>
        <v>195</v>
      </c>
      <c r="Q22" s="166">
        <v>0</v>
      </c>
      <c r="R22" s="151">
        <v>0</v>
      </c>
      <c r="S22" s="151">
        <v>1</v>
      </c>
      <c r="T22" s="167">
        <f t="shared" si="8"/>
        <v>196</v>
      </c>
    </row>
    <row r="23" spans="1:20" ht="12.75">
      <c r="A23" s="86" t="s">
        <v>143</v>
      </c>
      <c r="B23" s="87">
        <v>0</v>
      </c>
      <c r="C23" s="220">
        <v>37</v>
      </c>
      <c r="D23" s="163">
        <v>0</v>
      </c>
      <c r="E23" s="151">
        <v>0</v>
      </c>
      <c r="F23" s="151">
        <v>0</v>
      </c>
      <c r="G23" s="151">
        <v>1</v>
      </c>
      <c r="H23" s="226">
        <f t="shared" si="5"/>
        <v>38</v>
      </c>
      <c r="I23" s="166">
        <v>0</v>
      </c>
      <c r="J23" s="151">
        <v>0</v>
      </c>
      <c r="K23" s="151">
        <v>1</v>
      </c>
      <c r="L23" s="220">
        <f t="shared" si="6"/>
        <v>39</v>
      </c>
      <c r="M23" s="163">
        <v>0</v>
      </c>
      <c r="N23" s="151">
        <v>0</v>
      </c>
      <c r="O23" s="151">
        <v>1</v>
      </c>
      <c r="P23" s="226">
        <f t="shared" si="7"/>
        <v>40</v>
      </c>
      <c r="Q23" s="166">
        <v>0</v>
      </c>
      <c r="R23" s="151">
        <v>0</v>
      </c>
      <c r="S23" s="151">
        <v>0</v>
      </c>
      <c r="T23" s="167">
        <f t="shared" si="8"/>
        <v>40</v>
      </c>
    </row>
    <row r="24" spans="1:20" ht="12.75">
      <c r="A24" s="86" t="s">
        <v>144</v>
      </c>
      <c r="B24" s="87">
        <v>0</v>
      </c>
      <c r="C24" s="220">
        <v>44</v>
      </c>
      <c r="D24" s="163">
        <v>0</v>
      </c>
      <c r="E24" s="151">
        <v>0</v>
      </c>
      <c r="F24" s="151">
        <v>-1</v>
      </c>
      <c r="G24" s="151">
        <v>0</v>
      </c>
      <c r="H24" s="226">
        <f t="shared" si="5"/>
        <v>43</v>
      </c>
      <c r="I24" s="166">
        <v>0</v>
      </c>
      <c r="J24" s="151">
        <v>-1</v>
      </c>
      <c r="K24" s="151">
        <v>0</v>
      </c>
      <c r="L24" s="220">
        <f t="shared" si="6"/>
        <v>42</v>
      </c>
      <c r="M24" s="163">
        <v>0</v>
      </c>
      <c r="N24" s="151">
        <v>0</v>
      </c>
      <c r="O24" s="151">
        <v>0</v>
      </c>
      <c r="P24" s="226">
        <f t="shared" si="7"/>
        <v>42</v>
      </c>
      <c r="Q24" s="166">
        <v>0</v>
      </c>
      <c r="R24" s="151">
        <v>0</v>
      </c>
      <c r="S24" s="151">
        <v>1</v>
      </c>
      <c r="T24" s="167">
        <f t="shared" si="8"/>
        <v>43</v>
      </c>
    </row>
    <row r="25" spans="1:20" ht="12.75" hidden="1">
      <c r="A25" s="86" t="s">
        <v>136</v>
      </c>
      <c r="B25" s="87" t="s">
        <v>145</v>
      </c>
      <c r="C25" s="220">
        <v>0</v>
      </c>
      <c r="D25" s="173"/>
      <c r="E25" s="151"/>
      <c r="F25" s="151"/>
      <c r="G25" s="151"/>
      <c r="H25" s="226">
        <f t="shared" si="5"/>
        <v>0</v>
      </c>
      <c r="I25" s="166"/>
      <c r="J25" s="151">
        <v>0</v>
      </c>
      <c r="K25" s="151"/>
      <c r="L25" s="220">
        <f t="shared" si="6"/>
        <v>0</v>
      </c>
      <c r="M25" s="163"/>
      <c r="N25" s="151">
        <v>0</v>
      </c>
      <c r="O25" s="151"/>
      <c r="P25" s="226">
        <f t="shared" si="7"/>
        <v>0</v>
      </c>
      <c r="Q25" s="166"/>
      <c r="R25" s="151">
        <v>0</v>
      </c>
      <c r="S25" s="151"/>
      <c r="T25" s="167">
        <f t="shared" si="8"/>
        <v>0</v>
      </c>
    </row>
    <row r="26" spans="1:20" ht="12.75">
      <c r="A26" s="86" t="s">
        <v>146</v>
      </c>
      <c r="B26" s="87">
        <v>0</v>
      </c>
      <c r="C26" s="221">
        <v>9</v>
      </c>
      <c r="D26" s="168">
        <v>0</v>
      </c>
      <c r="E26" s="170">
        <v>0</v>
      </c>
      <c r="F26" s="170">
        <v>-2</v>
      </c>
      <c r="G26" s="170">
        <v>0</v>
      </c>
      <c r="H26" s="227">
        <f t="shared" si="5"/>
        <v>7</v>
      </c>
      <c r="I26" s="171">
        <v>0</v>
      </c>
      <c r="J26" s="170">
        <v>-2</v>
      </c>
      <c r="K26" s="170">
        <v>0</v>
      </c>
      <c r="L26" s="221">
        <f t="shared" si="6"/>
        <v>5</v>
      </c>
      <c r="M26" s="168">
        <v>0</v>
      </c>
      <c r="N26" s="170">
        <v>0</v>
      </c>
      <c r="O26" s="170">
        <v>0</v>
      </c>
      <c r="P26" s="227">
        <f t="shared" si="7"/>
        <v>5</v>
      </c>
      <c r="Q26" s="171">
        <v>0</v>
      </c>
      <c r="R26" s="170">
        <v>0</v>
      </c>
      <c r="S26" s="170">
        <v>0</v>
      </c>
      <c r="T26" s="230">
        <f t="shared" si="8"/>
        <v>5</v>
      </c>
    </row>
    <row r="27" spans="1:20" s="35" customFormat="1" ht="12.75">
      <c r="A27" s="90" t="s">
        <v>138</v>
      </c>
      <c r="B27" s="91"/>
      <c r="C27" s="162">
        <f aca="true" t="shared" si="9" ref="C27:T27">SUM(C20:C26)</f>
        <v>1550</v>
      </c>
      <c r="D27" s="173">
        <f t="shared" si="9"/>
        <v>15</v>
      </c>
      <c r="E27" s="156">
        <f t="shared" si="9"/>
        <v>164</v>
      </c>
      <c r="F27" s="156">
        <f t="shared" si="9"/>
        <v>-30</v>
      </c>
      <c r="G27" s="156">
        <f t="shared" si="9"/>
        <v>36</v>
      </c>
      <c r="H27" s="165">
        <f t="shared" si="9"/>
        <v>1735</v>
      </c>
      <c r="I27" s="172">
        <f t="shared" si="9"/>
        <v>15</v>
      </c>
      <c r="J27" s="156">
        <f t="shared" si="9"/>
        <v>-30</v>
      </c>
      <c r="K27" s="156">
        <f t="shared" si="9"/>
        <v>36</v>
      </c>
      <c r="L27" s="162">
        <f t="shared" si="9"/>
        <v>1756</v>
      </c>
      <c r="M27" s="173">
        <f t="shared" si="9"/>
        <v>17</v>
      </c>
      <c r="N27" s="156">
        <f t="shared" si="9"/>
        <v>0</v>
      </c>
      <c r="O27" s="156">
        <f t="shared" si="9"/>
        <v>38</v>
      </c>
      <c r="P27" s="165">
        <f t="shared" si="9"/>
        <v>1811</v>
      </c>
      <c r="Q27" s="172">
        <f t="shared" si="9"/>
        <v>18</v>
      </c>
      <c r="R27" s="156">
        <f t="shared" si="9"/>
        <v>0</v>
      </c>
      <c r="S27" s="156">
        <f t="shared" si="9"/>
        <v>39</v>
      </c>
      <c r="T27" s="156">
        <f t="shared" si="9"/>
        <v>1868</v>
      </c>
    </row>
    <row r="28" spans="1:20" ht="12.75">
      <c r="A28" s="86"/>
      <c r="B28" s="87"/>
      <c r="C28" s="222"/>
      <c r="D28" s="174"/>
      <c r="E28" s="175"/>
      <c r="F28" s="176"/>
      <c r="G28" s="177"/>
      <c r="H28" s="228"/>
      <c r="I28" s="178"/>
      <c r="J28" s="177"/>
      <c r="K28" s="177"/>
      <c r="L28" s="222"/>
      <c r="M28" s="174"/>
      <c r="N28" s="177"/>
      <c r="O28" s="177"/>
      <c r="P28" s="228"/>
      <c r="Q28" s="178"/>
      <c r="R28" s="177"/>
      <c r="S28" s="177"/>
      <c r="T28" s="231"/>
    </row>
    <row r="29" spans="1:20" ht="12.75">
      <c r="A29" s="82" t="s">
        <v>147</v>
      </c>
      <c r="B29" s="83"/>
      <c r="C29" s="220"/>
      <c r="D29" s="173"/>
      <c r="E29" s="179"/>
      <c r="F29" s="164"/>
      <c r="G29" s="151"/>
      <c r="H29" s="226"/>
      <c r="I29" s="172"/>
      <c r="J29" s="151"/>
      <c r="K29" s="151"/>
      <c r="L29" s="220"/>
      <c r="M29" s="173"/>
      <c r="N29" s="151"/>
      <c r="O29" s="151"/>
      <c r="P29" s="226"/>
      <c r="Q29" s="172"/>
      <c r="R29" s="151"/>
      <c r="S29" s="151"/>
      <c r="T29" s="167"/>
    </row>
    <row r="30" spans="1:20" ht="12.75">
      <c r="A30" s="86" t="s">
        <v>148</v>
      </c>
      <c r="B30" s="87"/>
      <c r="C30" s="220">
        <v>907</v>
      </c>
      <c r="D30" s="163">
        <v>-407</v>
      </c>
      <c r="E30" s="164">
        <v>0</v>
      </c>
      <c r="F30" s="164">
        <v>0</v>
      </c>
      <c r="G30" s="151">
        <v>0</v>
      </c>
      <c r="H30" s="226">
        <f aca="true" t="shared" si="10" ref="H30:H35">SUM(C30:G30)</f>
        <v>500</v>
      </c>
      <c r="I30" s="166">
        <v>0</v>
      </c>
      <c r="J30" s="151">
        <v>0</v>
      </c>
      <c r="K30" s="151">
        <v>0</v>
      </c>
      <c r="L30" s="220">
        <f aca="true" t="shared" si="11" ref="L30:L35">SUM(H30:K30)</f>
        <v>500</v>
      </c>
      <c r="M30" s="163">
        <v>0</v>
      </c>
      <c r="N30" s="151">
        <v>0</v>
      </c>
      <c r="O30" s="151">
        <v>0</v>
      </c>
      <c r="P30" s="226">
        <f aca="true" t="shared" si="12" ref="P30:P35">SUM(L30:O30)</f>
        <v>500</v>
      </c>
      <c r="Q30" s="166">
        <v>0</v>
      </c>
      <c r="R30" s="151">
        <v>0</v>
      </c>
      <c r="S30" s="151">
        <v>0</v>
      </c>
      <c r="T30" s="167">
        <f aca="true" t="shared" si="13" ref="T30:T35">SUM(P30:S30)</f>
        <v>500</v>
      </c>
    </row>
    <row r="31" spans="1:20" ht="12.75">
      <c r="A31" s="92" t="s">
        <v>149</v>
      </c>
      <c r="B31" s="87"/>
      <c r="C31" s="220">
        <v>613</v>
      </c>
      <c r="D31" s="163">
        <v>0</v>
      </c>
      <c r="E31" s="164">
        <v>100</v>
      </c>
      <c r="F31" s="164">
        <v>0</v>
      </c>
      <c r="G31" s="151">
        <v>0</v>
      </c>
      <c r="H31" s="226">
        <f t="shared" si="10"/>
        <v>713</v>
      </c>
      <c r="I31" s="166">
        <v>0</v>
      </c>
      <c r="J31" s="151">
        <v>0</v>
      </c>
      <c r="K31" s="151">
        <v>1</v>
      </c>
      <c r="L31" s="220">
        <f t="shared" si="11"/>
        <v>714</v>
      </c>
      <c r="M31" s="163">
        <v>0</v>
      </c>
      <c r="N31" s="151">
        <v>0</v>
      </c>
      <c r="O31" s="151">
        <v>0</v>
      </c>
      <c r="P31" s="226">
        <f t="shared" si="12"/>
        <v>714</v>
      </c>
      <c r="Q31" s="166">
        <v>0</v>
      </c>
      <c r="R31" s="151">
        <v>0</v>
      </c>
      <c r="S31" s="151">
        <v>1</v>
      </c>
      <c r="T31" s="167">
        <f t="shared" si="13"/>
        <v>715</v>
      </c>
    </row>
    <row r="32" spans="1:20" ht="12.75">
      <c r="A32" s="92" t="s">
        <v>150</v>
      </c>
      <c r="B32" s="87">
        <v>0</v>
      </c>
      <c r="C32" s="220">
        <f>147-1</f>
        <v>146</v>
      </c>
      <c r="D32" s="163">
        <v>2</v>
      </c>
      <c r="E32" s="164">
        <v>0</v>
      </c>
      <c r="F32" s="164">
        <f>-3</f>
        <v>-3</v>
      </c>
      <c r="G32" s="151">
        <f>8</f>
        <v>8</v>
      </c>
      <c r="H32" s="226">
        <f t="shared" si="10"/>
        <v>153</v>
      </c>
      <c r="I32" s="166">
        <v>1</v>
      </c>
      <c r="J32" s="151">
        <f>-3</f>
        <v>-3</v>
      </c>
      <c r="K32" s="151">
        <f>8</f>
        <v>8</v>
      </c>
      <c r="L32" s="220">
        <f t="shared" si="11"/>
        <v>159</v>
      </c>
      <c r="M32" s="163">
        <v>2</v>
      </c>
      <c r="N32" s="151">
        <v>0</v>
      </c>
      <c r="O32" s="151">
        <f>9</f>
        <v>9</v>
      </c>
      <c r="P32" s="226">
        <f t="shared" si="12"/>
        <v>170</v>
      </c>
      <c r="Q32" s="166">
        <v>2</v>
      </c>
      <c r="R32" s="151">
        <v>0</v>
      </c>
      <c r="S32" s="151">
        <f>8</f>
        <v>8</v>
      </c>
      <c r="T32" s="167">
        <f t="shared" si="13"/>
        <v>180</v>
      </c>
    </row>
    <row r="33" spans="1:20" ht="12.75">
      <c r="A33" s="86" t="s">
        <v>151</v>
      </c>
      <c r="B33" s="87">
        <v>0</v>
      </c>
      <c r="C33" s="220">
        <f>120</f>
        <v>120</v>
      </c>
      <c r="D33" s="163">
        <v>0</v>
      </c>
      <c r="E33" s="164">
        <v>0</v>
      </c>
      <c r="F33" s="164">
        <v>-2</v>
      </c>
      <c r="G33" s="151">
        <v>3</v>
      </c>
      <c r="H33" s="226">
        <f t="shared" si="10"/>
        <v>121</v>
      </c>
      <c r="I33" s="166">
        <v>0</v>
      </c>
      <c r="J33" s="151">
        <v>-2</v>
      </c>
      <c r="K33" s="151">
        <v>3</v>
      </c>
      <c r="L33" s="220">
        <f t="shared" si="11"/>
        <v>122</v>
      </c>
      <c r="M33" s="163">
        <v>0</v>
      </c>
      <c r="N33" s="151">
        <v>0</v>
      </c>
      <c r="O33" s="151">
        <v>3</v>
      </c>
      <c r="P33" s="226">
        <f t="shared" si="12"/>
        <v>125</v>
      </c>
      <c r="Q33" s="166">
        <v>0</v>
      </c>
      <c r="R33" s="151">
        <v>0</v>
      </c>
      <c r="S33" s="151">
        <v>4</v>
      </c>
      <c r="T33" s="167">
        <f t="shared" si="13"/>
        <v>129</v>
      </c>
    </row>
    <row r="34" spans="1:20" ht="12.75">
      <c r="A34" s="86" t="s">
        <v>152</v>
      </c>
      <c r="B34" s="87"/>
      <c r="C34" s="220">
        <v>35</v>
      </c>
      <c r="D34" s="163">
        <v>0</v>
      </c>
      <c r="E34" s="164">
        <v>0</v>
      </c>
      <c r="F34" s="164">
        <v>-1</v>
      </c>
      <c r="G34" s="151">
        <v>1</v>
      </c>
      <c r="H34" s="226">
        <f t="shared" si="10"/>
        <v>35</v>
      </c>
      <c r="I34" s="166">
        <v>0</v>
      </c>
      <c r="J34" s="151">
        <v>-1</v>
      </c>
      <c r="K34" s="151">
        <v>1</v>
      </c>
      <c r="L34" s="220">
        <f t="shared" si="11"/>
        <v>35</v>
      </c>
      <c r="M34" s="163">
        <v>0</v>
      </c>
      <c r="N34" s="151">
        <v>0</v>
      </c>
      <c r="O34" s="151">
        <v>1</v>
      </c>
      <c r="P34" s="226">
        <f t="shared" si="12"/>
        <v>36</v>
      </c>
      <c r="Q34" s="166">
        <v>0</v>
      </c>
      <c r="R34" s="151">
        <v>0</v>
      </c>
      <c r="S34" s="151">
        <v>1</v>
      </c>
      <c r="T34" s="167">
        <f t="shared" si="13"/>
        <v>37</v>
      </c>
    </row>
    <row r="35" spans="1:20" ht="12.75">
      <c r="A35" s="86" t="s">
        <v>153</v>
      </c>
      <c r="B35" s="87"/>
      <c r="C35" s="221">
        <f>896-2</f>
        <v>894</v>
      </c>
      <c r="D35" s="168">
        <v>3</v>
      </c>
      <c r="E35" s="169">
        <v>0</v>
      </c>
      <c r="F35" s="169">
        <v>-18</v>
      </c>
      <c r="G35" s="170">
        <f>23+12</f>
        <v>35</v>
      </c>
      <c r="H35" s="227">
        <f t="shared" si="10"/>
        <v>914</v>
      </c>
      <c r="I35" s="171">
        <v>4</v>
      </c>
      <c r="J35" s="170">
        <v>-18</v>
      </c>
      <c r="K35" s="170">
        <f>26-2+12</f>
        <v>36</v>
      </c>
      <c r="L35" s="221">
        <f t="shared" si="11"/>
        <v>936</v>
      </c>
      <c r="M35" s="168">
        <v>3</v>
      </c>
      <c r="N35" s="170">
        <v>0</v>
      </c>
      <c r="O35" s="170">
        <f>27-2+12</f>
        <v>37</v>
      </c>
      <c r="P35" s="227">
        <f t="shared" si="12"/>
        <v>976</v>
      </c>
      <c r="Q35" s="171">
        <v>4</v>
      </c>
      <c r="R35" s="170">
        <v>0</v>
      </c>
      <c r="S35" s="170">
        <f>26+12</f>
        <v>38</v>
      </c>
      <c r="T35" s="230">
        <f t="shared" si="13"/>
        <v>1018</v>
      </c>
    </row>
    <row r="36" spans="1:20" s="59" customFormat="1" ht="12.75">
      <c r="A36" s="93" t="s">
        <v>138</v>
      </c>
      <c r="B36" s="94"/>
      <c r="C36" s="181">
        <f aca="true" t="shared" si="14" ref="C36:T36">SUM(C30:C35)</f>
        <v>2715</v>
      </c>
      <c r="D36" s="185">
        <f t="shared" si="14"/>
        <v>-402</v>
      </c>
      <c r="E36" s="182">
        <f t="shared" si="14"/>
        <v>100</v>
      </c>
      <c r="F36" s="182">
        <f t="shared" si="14"/>
        <v>-24</v>
      </c>
      <c r="G36" s="182">
        <f t="shared" si="14"/>
        <v>47</v>
      </c>
      <c r="H36" s="183">
        <f t="shared" si="14"/>
        <v>2436</v>
      </c>
      <c r="I36" s="184">
        <f t="shared" si="14"/>
        <v>5</v>
      </c>
      <c r="J36" s="182">
        <f t="shared" si="14"/>
        <v>-24</v>
      </c>
      <c r="K36" s="182">
        <f t="shared" si="14"/>
        <v>49</v>
      </c>
      <c r="L36" s="181">
        <f t="shared" si="14"/>
        <v>2466</v>
      </c>
      <c r="M36" s="185">
        <f t="shared" si="14"/>
        <v>5</v>
      </c>
      <c r="N36" s="182">
        <f t="shared" si="14"/>
        <v>0</v>
      </c>
      <c r="O36" s="182">
        <f t="shared" si="14"/>
        <v>50</v>
      </c>
      <c r="P36" s="183">
        <f t="shared" si="14"/>
        <v>2521</v>
      </c>
      <c r="Q36" s="184">
        <f t="shared" si="14"/>
        <v>6</v>
      </c>
      <c r="R36" s="182">
        <f t="shared" si="14"/>
        <v>0</v>
      </c>
      <c r="S36" s="182">
        <f t="shared" si="14"/>
        <v>52</v>
      </c>
      <c r="T36" s="182">
        <f t="shared" si="14"/>
        <v>2579</v>
      </c>
    </row>
    <row r="37" spans="1:20" s="30" customFormat="1" ht="12.75">
      <c r="A37" s="92"/>
      <c r="B37" s="95"/>
      <c r="C37" s="224"/>
      <c r="D37" s="186"/>
      <c r="E37" s="187"/>
      <c r="F37" s="188"/>
      <c r="G37" s="189"/>
      <c r="H37" s="229"/>
      <c r="I37" s="190"/>
      <c r="J37" s="189"/>
      <c r="K37" s="189"/>
      <c r="L37" s="224"/>
      <c r="M37" s="186"/>
      <c r="N37" s="189"/>
      <c r="O37" s="189"/>
      <c r="P37" s="229"/>
      <c r="Q37" s="190"/>
      <c r="R37" s="189"/>
      <c r="S37" s="189"/>
      <c r="T37" s="232"/>
    </row>
    <row r="38" spans="1:20" s="96" customFormat="1" ht="12.75">
      <c r="A38" s="93" t="s">
        <v>238</v>
      </c>
      <c r="B38" s="95"/>
      <c r="C38" s="223">
        <v>0</v>
      </c>
      <c r="D38" s="191">
        <v>0</v>
      </c>
      <c r="E38" s="192">
        <v>0</v>
      </c>
      <c r="F38" s="192">
        <v>0</v>
      </c>
      <c r="G38" s="193">
        <v>0</v>
      </c>
      <c r="H38" s="226">
        <f>SUM(C38:G38)</f>
        <v>0</v>
      </c>
      <c r="I38" s="166">
        <v>0</v>
      </c>
      <c r="J38" s="193">
        <v>0</v>
      </c>
      <c r="K38" s="193">
        <v>0</v>
      </c>
      <c r="L38" s="220">
        <f>SUM(H38:K38)</f>
        <v>0</v>
      </c>
      <c r="M38" s="163">
        <v>0</v>
      </c>
      <c r="N38" s="193">
        <v>-437</v>
      </c>
      <c r="O38" s="193">
        <v>0</v>
      </c>
      <c r="P38" s="226">
        <f>SUM(L38:O38)</f>
        <v>-437</v>
      </c>
      <c r="Q38" s="166">
        <v>0</v>
      </c>
      <c r="R38" s="193">
        <v>-437</v>
      </c>
      <c r="S38" s="193">
        <v>0</v>
      </c>
      <c r="T38" s="167">
        <f>SUM(P38:S38)</f>
        <v>-874</v>
      </c>
    </row>
    <row r="39" spans="1:20" s="30" customFormat="1" ht="12.75">
      <c r="A39" s="92"/>
      <c r="B39" s="95"/>
      <c r="C39" s="224"/>
      <c r="D39" s="186"/>
      <c r="E39" s="187"/>
      <c r="F39" s="188"/>
      <c r="G39" s="189"/>
      <c r="H39" s="229"/>
      <c r="I39" s="190"/>
      <c r="J39" s="189"/>
      <c r="K39" s="189"/>
      <c r="L39" s="224"/>
      <c r="M39" s="186"/>
      <c r="N39" s="189"/>
      <c r="O39" s="189"/>
      <c r="P39" s="229"/>
      <c r="Q39" s="190"/>
      <c r="R39" s="189"/>
      <c r="S39" s="189"/>
      <c r="T39" s="232"/>
    </row>
    <row r="40" spans="1:20" s="30" customFormat="1" ht="12.75">
      <c r="A40" s="143" t="s">
        <v>96</v>
      </c>
      <c r="B40" s="144"/>
      <c r="C40" s="194">
        <f>SUM(C17+C27+C36)</f>
        <v>13584</v>
      </c>
      <c r="D40" s="197">
        <f aca="true" t="shared" si="15" ref="D40:T40">SUM(D17+D27+D36+D38)</f>
        <v>69</v>
      </c>
      <c r="E40" s="157">
        <f t="shared" si="15"/>
        <v>264</v>
      </c>
      <c r="F40" s="157">
        <f t="shared" si="15"/>
        <v>-142</v>
      </c>
      <c r="G40" s="157">
        <f t="shared" si="15"/>
        <v>198</v>
      </c>
      <c r="H40" s="195">
        <f t="shared" si="15"/>
        <v>13973</v>
      </c>
      <c r="I40" s="196">
        <f t="shared" si="15"/>
        <v>72</v>
      </c>
      <c r="J40" s="157">
        <f t="shared" si="15"/>
        <v>-409</v>
      </c>
      <c r="K40" s="157">
        <f t="shared" si="15"/>
        <v>203</v>
      </c>
      <c r="L40" s="194">
        <f t="shared" si="15"/>
        <v>13839</v>
      </c>
      <c r="M40" s="197">
        <f t="shared" si="15"/>
        <v>77</v>
      </c>
      <c r="N40" s="157">
        <f t="shared" si="15"/>
        <v>-437</v>
      </c>
      <c r="O40" s="157">
        <f t="shared" si="15"/>
        <v>209</v>
      </c>
      <c r="P40" s="195">
        <f t="shared" si="15"/>
        <v>13688</v>
      </c>
      <c r="Q40" s="196">
        <f t="shared" si="15"/>
        <v>82</v>
      </c>
      <c r="R40" s="157">
        <f t="shared" si="15"/>
        <v>-437</v>
      </c>
      <c r="S40" s="157">
        <f t="shared" si="15"/>
        <v>215</v>
      </c>
      <c r="T40" s="157">
        <f t="shared" si="15"/>
        <v>13548</v>
      </c>
    </row>
    <row r="41" spans="3:20" ht="12.75">
      <c r="C41" s="225"/>
      <c r="H41" t="s">
        <v>100</v>
      </c>
      <c r="I41"/>
      <c r="L41" s="72" t="s">
        <v>100</v>
      </c>
      <c r="P41" s="35" t="s">
        <v>100</v>
      </c>
      <c r="T41" s="35" t="s">
        <v>100</v>
      </c>
    </row>
    <row r="42" spans="1:20" ht="12.75">
      <c r="A42" s="35"/>
      <c r="H42" s="98" t="s">
        <v>100</v>
      </c>
      <c r="I42" s="98"/>
      <c r="L42" s="98" t="s">
        <v>100</v>
      </c>
      <c r="M42" s="98"/>
      <c r="P42" s="98" t="s">
        <v>100</v>
      </c>
      <c r="Q42" s="98"/>
      <c r="T42" s="98" t="s">
        <v>100</v>
      </c>
    </row>
    <row r="43" ht="12.75">
      <c r="A43" s="35"/>
    </row>
    <row r="44" ht="12.75">
      <c r="A44" s="131"/>
    </row>
    <row r="45" ht="12.75">
      <c r="A45" s="131"/>
    </row>
    <row r="46" ht="12.75">
      <c r="A46" s="131"/>
    </row>
    <row r="47" ht="12.75">
      <c r="A47" s="131"/>
    </row>
  </sheetData>
  <mergeCells count="6">
    <mergeCell ref="A4:A9"/>
    <mergeCell ref="A2:V2"/>
    <mergeCell ref="D4:H4"/>
    <mergeCell ref="I4:L4"/>
    <mergeCell ref="M4:P4"/>
    <mergeCell ref="Q4:T4"/>
  </mergeCells>
  <printOptions/>
  <pageMargins left="0.5511811023622047" right="0.1968503937007874" top="0.984251968503937" bottom="0.6299212598425197" header="0.5118110236220472" footer="0.4330708661417323"/>
  <pageSetup fitToHeight="1" fitToWidth="1" horizontalDpi="600" verticalDpi="600" orientation="landscape" paperSize="9" scale="68" r:id="rId2"/>
  <headerFooter alignWithMargins="0">
    <oddHeader>&amp;R&amp;"Arial,Bold"&amp;8APPENDIX C</oddHeader>
    <oddFooter>&amp;L&amp;F\&amp;A&amp;R&amp;9 99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5.00390625" style="132" customWidth="1"/>
    <col min="2" max="2" width="10.00390625" style="0" customWidth="1"/>
  </cols>
  <sheetData>
    <row r="1" spans="1:20" ht="15.75">
      <c r="A1" s="1" t="s">
        <v>219</v>
      </c>
      <c r="B1" s="70"/>
      <c r="C1" s="71"/>
      <c r="D1" s="71"/>
      <c r="G1" s="2"/>
      <c r="H1" s="72"/>
      <c r="I1" s="72"/>
      <c r="J1" s="2"/>
      <c r="K1" s="2"/>
      <c r="L1" s="72"/>
      <c r="M1" s="72"/>
      <c r="P1" s="35"/>
      <c r="Q1" s="35"/>
      <c r="T1" s="35"/>
    </row>
    <row r="2" spans="1:22" ht="15">
      <c r="A2" s="249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</row>
    <row r="4" spans="1:19" s="12" customFormat="1" ht="15.75">
      <c r="A4" s="270" t="s">
        <v>6</v>
      </c>
      <c r="B4" s="234" t="s">
        <v>78</v>
      </c>
      <c r="C4" s="281" t="s">
        <v>2</v>
      </c>
      <c r="D4" s="281"/>
      <c r="E4" s="281"/>
      <c r="F4" s="281"/>
      <c r="G4" s="281"/>
      <c r="H4" s="280" t="s">
        <v>3</v>
      </c>
      <c r="I4" s="280"/>
      <c r="J4" s="280"/>
      <c r="K4" s="280"/>
      <c r="L4" s="280" t="s">
        <v>79</v>
      </c>
      <c r="M4" s="280"/>
      <c r="N4" s="280"/>
      <c r="O4" s="280"/>
      <c r="P4" s="280" t="s">
        <v>80</v>
      </c>
      <c r="Q4" s="280"/>
      <c r="R4" s="280"/>
      <c r="S4" s="280"/>
    </row>
    <row r="5" spans="1:19" ht="12.75">
      <c r="A5" s="271"/>
      <c r="B5" s="235" t="s">
        <v>98</v>
      </c>
      <c r="C5" s="112"/>
      <c r="D5" s="102"/>
      <c r="E5" s="102"/>
      <c r="F5" s="102"/>
      <c r="G5" s="115" t="s">
        <v>99</v>
      </c>
      <c r="H5" s="112"/>
      <c r="I5" s="102"/>
      <c r="J5" s="102"/>
      <c r="K5" s="115" t="s">
        <v>99</v>
      </c>
      <c r="L5" s="112"/>
      <c r="M5" s="102"/>
      <c r="N5" s="102"/>
      <c r="O5" s="115" t="s">
        <v>99</v>
      </c>
      <c r="P5" s="112"/>
      <c r="Q5" s="102"/>
      <c r="R5" s="102"/>
      <c r="S5" s="115" t="s">
        <v>99</v>
      </c>
    </row>
    <row r="6" spans="1:19" s="16" customFormat="1" ht="12.75" customHeight="1">
      <c r="A6" s="271"/>
      <c r="B6" s="119" t="s">
        <v>99</v>
      </c>
      <c r="C6" s="78"/>
      <c r="D6" s="14" t="s">
        <v>100</v>
      </c>
      <c r="E6" s="14" t="s">
        <v>100</v>
      </c>
      <c r="F6" s="61"/>
      <c r="G6" s="117" t="s">
        <v>101</v>
      </c>
      <c r="H6" s="77"/>
      <c r="I6" s="75" t="s">
        <v>100</v>
      </c>
      <c r="J6" s="61"/>
      <c r="K6" s="117" t="s">
        <v>101</v>
      </c>
      <c r="L6" s="77"/>
      <c r="M6" s="75" t="s">
        <v>100</v>
      </c>
      <c r="N6" s="61"/>
      <c r="O6" s="117" t="s">
        <v>101</v>
      </c>
      <c r="P6" s="77"/>
      <c r="Q6" s="75" t="s">
        <v>100</v>
      </c>
      <c r="R6" s="61"/>
      <c r="S6" s="117" t="s">
        <v>101</v>
      </c>
    </row>
    <row r="7" spans="1:19" s="16" customFormat="1" ht="12.75" customHeight="1">
      <c r="A7" s="271"/>
      <c r="B7" s="117" t="s">
        <v>102</v>
      </c>
      <c r="C7" s="77" t="s">
        <v>103</v>
      </c>
      <c r="D7" s="14" t="s">
        <v>104</v>
      </c>
      <c r="E7" s="14" t="s">
        <v>105</v>
      </c>
      <c r="F7" s="61" t="s">
        <v>106</v>
      </c>
      <c r="G7" s="117" t="s">
        <v>107</v>
      </c>
      <c r="H7" s="77" t="s">
        <v>103</v>
      </c>
      <c r="I7" s="14" t="s">
        <v>105</v>
      </c>
      <c r="J7" s="61" t="s">
        <v>106</v>
      </c>
      <c r="K7" s="117" t="s">
        <v>108</v>
      </c>
      <c r="L7" s="77" t="s">
        <v>103</v>
      </c>
      <c r="M7" s="14" t="s">
        <v>105</v>
      </c>
      <c r="N7" s="61" t="s">
        <v>106</v>
      </c>
      <c r="O7" s="117" t="s">
        <v>109</v>
      </c>
      <c r="P7" s="77" t="s">
        <v>103</v>
      </c>
      <c r="Q7" s="14" t="s">
        <v>105</v>
      </c>
      <c r="R7" s="61" t="s">
        <v>106</v>
      </c>
      <c r="S7" s="117" t="s">
        <v>110</v>
      </c>
    </row>
    <row r="8" spans="1:19" s="16" customFormat="1" ht="18.75" customHeight="1">
      <c r="A8" s="271"/>
      <c r="B8" s="119" t="s">
        <v>111</v>
      </c>
      <c r="C8" s="78" t="s">
        <v>111</v>
      </c>
      <c r="D8" s="76" t="s">
        <v>111</v>
      </c>
      <c r="E8" s="76" t="s">
        <v>111</v>
      </c>
      <c r="F8" s="76" t="s">
        <v>111</v>
      </c>
      <c r="G8" s="119" t="s">
        <v>111</v>
      </c>
      <c r="H8" s="78" t="s">
        <v>111</v>
      </c>
      <c r="I8" s="76" t="s">
        <v>111</v>
      </c>
      <c r="J8" s="76" t="s">
        <v>111</v>
      </c>
      <c r="K8" s="119" t="s">
        <v>111</v>
      </c>
      <c r="L8" s="78" t="s">
        <v>111</v>
      </c>
      <c r="M8" s="76" t="s">
        <v>111</v>
      </c>
      <c r="N8" s="76" t="s">
        <v>111</v>
      </c>
      <c r="O8" s="119" t="s">
        <v>111</v>
      </c>
      <c r="P8" s="78" t="s">
        <v>111</v>
      </c>
      <c r="Q8" s="76" t="s">
        <v>111</v>
      </c>
      <c r="R8" s="76" t="s">
        <v>111</v>
      </c>
      <c r="S8" s="119" t="s">
        <v>111</v>
      </c>
    </row>
    <row r="9" spans="1:19" s="16" customFormat="1" ht="12.75">
      <c r="A9" s="272"/>
      <c r="B9" s="236" t="s">
        <v>112</v>
      </c>
      <c r="C9" s="113" t="s">
        <v>113</v>
      </c>
      <c r="D9" s="103" t="s">
        <v>114</v>
      </c>
      <c r="E9" s="104" t="s">
        <v>115</v>
      </c>
      <c r="F9" s="105" t="s">
        <v>116</v>
      </c>
      <c r="G9" s="121" t="s">
        <v>117</v>
      </c>
      <c r="H9" s="113" t="s">
        <v>118</v>
      </c>
      <c r="I9" s="104" t="s">
        <v>119</v>
      </c>
      <c r="J9" s="103" t="s">
        <v>120</v>
      </c>
      <c r="K9" s="237" t="s">
        <v>121</v>
      </c>
      <c r="L9" s="211" t="s">
        <v>122</v>
      </c>
      <c r="M9" s="104" t="s">
        <v>123</v>
      </c>
      <c r="N9" s="105" t="s">
        <v>124</v>
      </c>
      <c r="O9" s="121" t="s">
        <v>125</v>
      </c>
      <c r="P9" s="125" t="s">
        <v>126</v>
      </c>
      <c r="Q9" s="104" t="s">
        <v>127</v>
      </c>
      <c r="R9" s="105" t="s">
        <v>128</v>
      </c>
      <c r="S9" s="121" t="s">
        <v>129</v>
      </c>
    </row>
    <row r="10" spans="1:19" s="141" customFormat="1" ht="26.25" customHeight="1">
      <c r="A10" s="137"/>
      <c r="B10" s="139" t="s">
        <v>170</v>
      </c>
      <c r="C10" s="140" t="s">
        <v>170</v>
      </c>
      <c r="D10" s="138" t="s">
        <v>170</v>
      </c>
      <c r="E10" s="138" t="s">
        <v>170</v>
      </c>
      <c r="F10" s="138" t="s">
        <v>170</v>
      </c>
      <c r="G10" s="139" t="s">
        <v>170</v>
      </c>
      <c r="H10" s="140" t="s">
        <v>170</v>
      </c>
      <c r="I10" s="138" t="s">
        <v>170</v>
      </c>
      <c r="J10" s="138" t="s">
        <v>170</v>
      </c>
      <c r="K10" s="139" t="s">
        <v>170</v>
      </c>
      <c r="L10" s="140" t="s">
        <v>170</v>
      </c>
      <c r="M10" s="138" t="s">
        <v>170</v>
      </c>
      <c r="N10" s="138" t="s">
        <v>170</v>
      </c>
      <c r="O10" s="139" t="s">
        <v>170</v>
      </c>
      <c r="P10" s="140" t="s">
        <v>170</v>
      </c>
      <c r="Q10" s="138" t="s">
        <v>170</v>
      </c>
      <c r="R10" s="138" t="s">
        <v>170</v>
      </c>
      <c r="S10" s="139" t="s">
        <v>170</v>
      </c>
    </row>
    <row r="11" spans="1:19" s="57" customFormat="1" ht="26.25" customHeight="1">
      <c r="A11" s="135" t="s">
        <v>171</v>
      </c>
      <c r="B11" s="198">
        <v>23996</v>
      </c>
      <c r="C11" s="160">
        <v>-400</v>
      </c>
      <c r="D11" s="158">
        <f>1748+126</f>
        <v>1874</v>
      </c>
      <c r="E11" s="158">
        <v>-228</v>
      </c>
      <c r="F11" s="158">
        <v>586.248</v>
      </c>
      <c r="G11" s="198">
        <f>SUM(B11:F11)</f>
        <v>25828.248</v>
      </c>
      <c r="H11" s="160">
        <v>0</v>
      </c>
      <c r="I11" s="158">
        <v>-120</v>
      </c>
      <c r="J11" s="158">
        <v>623.494</v>
      </c>
      <c r="K11" s="198">
        <f>SUM(G11:J11)</f>
        <v>26331.742</v>
      </c>
      <c r="L11" s="160">
        <v>0</v>
      </c>
      <c r="M11" s="158">
        <v>0</v>
      </c>
      <c r="N11" s="158">
        <v>636.807</v>
      </c>
      <c r="O11" s="198">
        <f>SUM(K11:N11)</f>
        <v>26968.549</v>
      </c>
      <c r="P11" s="160">
        <v>0</v>
      </c>
      <c r="Q11" s="158">
        <v>0</v>
      </c>
      <c r="R11" s="158">
        <v>652.861</v>
      </c>
      <c r="S11" s="198">
        <f>SUM(O11:R11)</f>
        <v>27621.41</v>
      </c>
    </row>
    <row r="12" spans="1:19" s="57" customFormat="1" ht="26.25" customHeight="1">
      <c r="A12" s="135" t="s">
        <v>172</v>
      </c>
      <c r="B12" s="198">
        <v>27564</v>
      </c>
      <c r="C12" s="160">
        <v>162</v>
      </c>
      <c r="D12" s="158">
        <v>446</v>
      </c>
      <c r="E12" s="158">
        <v>-295.5</v>
      </c>
      <c r="F12" s="158">
        <f>588.294+1</f>
        <v>589.294</v>
      </c>
      <c r="G12" s="198">
        <f aca="true" t="shared" si="0" ref="G12:G17">SUM(B12:F12)</f>
        <v>28465.794</v>
      </c>
      <c r="H12" s="160">
        <v>0</v>
      </c>
      <c r="I12" s="158">
        <v>0</v>
      </c>
      <c r="J12" s="158">
        <v>615.11</v>
      </c>
      <c r="K12" s="198">
        <f aca="true" t="shared" si="1" ref="K12:K19">SUM(G12:J12)</f>
        <v>29080.904000000002</v>
      </c>
      <c r="L12" s="160">
        <v>0</v>
      </c>
      <c r="M12" s="158">
        <v>0</v>
      </c>
      <c r="N12" s="158">
        <v>628.764</v>
      </c>
      <c r="O12" s="198">
        <f aca="true" t="shared" si="2" ref="O12:O17">SUM(K12:N12)</f>
        <v>29709.668</v>
      </c>
      <c r="P12" s="160">
        <v>0</v>
      </c>
      <c r="Q12" s="158">
        <v>0</v>
      </c>
      <c r="R12" s="158">
        <v>642.74</v>
      </c>
      <c r="S12" s="198">
        <f aca="true" t="shared" si="3" ref="S12:S17">SUM(O12:R12)</f>
        <v>30352.408000000003</v>
      </c>
    </row>
    <row r="13" spans="1:19" s="57" customFormat="1" ht="26.25" customHeight="1">
      <c r="A13" s="135" t="s">
        <v>173</v>
      </c>
      <c r="B13" s="198">
        <v>12864</v>
      </c>
      <c r="C13" s="160">
        <v>230</v>
      </c>
      <c r="D13" s="158">
        <v>1440</v>
      </c>
      <c r="E13" s="158">
        <v>-73</v>
      </c>
      <c r="F13" s="158">
        <v>301.063</v>
      </c>
      <c r="G13" s="198">
        <f t="shared" si="0"/>
        <v>14762.063</v>
      </c>
      <c r="H13" s="160">
        <v>0</v>
      </c>
      <c r="I13" s="158">
        <v>-207</v>
      </c>
      <c r="J13" s="158">
        <v>340.319</v>
      </c>
      <c r="K13" s="198">
        <f t="shared" si="1"/>
        <v>14895.382</v>
      </c>
      <c r="L13" s="160">
        <v>0</v>
      </c>
      <c r="M13" s="158">
        <v>0</v>
      </c>
      <c r="N13" s="158">
        <v>344.311</v>
      </c>
      <c r="O13" s="198">
        <f t="shared" si="2"/>
        <v>15239.693</v>
      </c>
      <c r="P13" s="160">
        <v>0</v>
      </c>
      <c r="Q13" s="158">
        <v>0</v>
      </c>
      <c r="R13" s="158">
        <v>352.581</v>
      </c>
      <c r="S13" s="198">
        <f t="shared" si="3"/>
        <v>15592.274</v>
      </c>
    </row>
    <row r="14" spans="1:19" s="57" customFormat="1" ht="26.25" customHeight="1">
      <c r="A14" s="135" t="s">
        <v>174</v>
      </c>
      <c r="B14" s="198">
        <v>7669</v>
      </c>
      <c r="C14" s="160">
        <v>148</v>
      </c>
      <c r="D14" s="158">
        <v>202</v>
      </c>
      <c r="E14" s="158">
        <v>-93</v>
      </c>
      <c r="F14" s="158">
        <v>182.686</v>
      </c>
      <c r="G14" s="198">
        <f t="shared" si="0"/>
        <v>8108.686</v>
      </c>
      <c r="H14" s="160">
        <v>0</v>
      </c>
      <c r="I14" s="158">
        <v>-145</v>
      </c>
      <c r="J14" s="158">
        <v>192.34</v>
      </c>
      <c r="K14" s="198">
        <f t="shared" si="1"/>
        <v>8156.026</v>
      </c>
      <c r="L14" s="160">
        <v>0</v>
      </c>
      <c r="M14" s="158">
        <v>0</v>
      </c>
      <c r="N14" s="158">
        <v>194.184</v>
      </c>
      <c r="O14" s="198">
        <f t="shared" si="2"/>
        <v>8350.21</v>
      </c>
      <c r="P14" s="160">
        <v>0</v>
      </c>
      <c r="Q14" s="158">
        <v>0</v>
      </c>
      <c r="R14" s="158">
        <v>198.984</v>
      </c>
      <c r="S14" s="198">
        <f t="shared" si="3"/>
        <v>8549.194</v>
      </c>
    </row>
    <row r="15" spans="1:19" s="57" customFormat="1" ht="26.25" customHeight="1">
      <c r="A15" s="135" t="s">
        <v>175</v>
      </c>
      <c r="B15" s="198">
        <v>7108</v>
      </c>
      <c r="C15" s="160">
        <v>40</v>
      </c>
      <c r="D15" s="158">
        <v>200</v>
      </c>
      <c r="E15" s="158">
        <v>-139</v>
      </c>
      <c r="F15" s="158">
        <v>189.325</v>
      </c>
      <c r="G15" s="198">
        <f t="shared" si="0"/>
        <v>7398.325</v>
      </c>
      <c r="H15" s="160">
        <v>0</v>
      </c>
      <c r="I15" s="158">
        <v>-59</v>
      </c>
      <c r="J15" s="158">
        <v>196.521</v>
      </c>
      <c r="K15" s="198">
        <f t="shared" si="1"/>
        <v>7535.846</v>
      </c>
      <c r="L15" s="160">
        <v>0</v>
      </c>
      <c r="M15" s="158">
        <v>0</v>
      </c>
      <c r="N15" s="158">
        <v>200.703</v>
      </c>
      <c r="O15" s="198">
        <f t="shared" si="2"/>
        <v>7736.549</v>
      </c>
      <c r="P15" s="160">
        <v>0</v>
      </c>
      <c r="Q15" s="158">
        <v>0</v>
      </c>
      <c r="R15" s="158">
        <v>206.201</v>
      </c>
      <c r="S15" s="198">
        <f t="shared" si="3"/>
        <v>7942.75</v>
      </c>
    </row>
    <row r="16" spans="1:19" s="57" customFormat="1" ht="26.25" customHeight="1">
      <c r="A16" s="135" t="s">
        <v>176</v>
      </c>
      <c r="B16" s="198">
        <v>5689</v>
      </c>
      <c r="C16" s="160">
        <v>448</v>
      </c>
      <c r="D16" s="158">
        <v>117.4</v>
      </c>
      <c r="E16" s="158">
        <v>-708</v>
      </c>
      <c r="F16" s="158">
        <v>144.5</v>
      </c>
      <c r="G16" s="198">
        <f t="shared" si="0"/>
        <v>5690.9</v>
      </c>
      <c r="H16" s="160">
        <v>291</v>
      </c>
      <c r="I16" s="158">
        <v>0</v>
      </c>
      <c r="J16" s="158">
        <v>135</v>
      </c>
      <c r="K16" s="198">
        <f t="shared" si="1"/>
        <v>6116.9</v>
      </c>
      <c r="L16" s="160">
        <v>308</v>
      </c>
      <c r="M16" s="158">
        <v>0</v>
      </c>
      <c r="N16" s="158">
        <v>109</v>
      </c>
      <c r="O16" s="198">
        <f t="shared" si="2"/>
        <v>6533.9</v>
      </c>
      <c r="P16" s="160">
        <v>326</v>
      </c>
      <c r="Q16" s="212">
        <v>0</v>
      </c>
      <c r="R16" s="158">
        <v>71</v>
      </c>
      <c r="S16" s="198">
        <f t="shared" si="3"/>
        <v>6930.9</v>
      </c>
    </row>
    <row r="17" spans="1:19" s="57" customFormat="1" ht="26.25" customHeight="1">
      <c r="A17" s="135" t="s">
        <v>177</v>
      </c>
      <c r="B17" s="198">
        <v>677.65</v>
      </c>
      <c r="C17" s="160">
        <v>0</v>
      </c>
      <c r="D17" s="158">
        <v>0</v>
      </c>
      <c r="E17" s="158">
        <v>-11</v>
      </c>
      <c r="F17" s="158">
        <v>25.988</v>
      </c>
      <c r="G17" s="198">
        <f t="shared" si="0"/>
        <v>692.6379999999999</v>
      </c>
      <c r="H17" s="160">
        <v>0</v>
      </c>
      <c r="I17" s="158">
        <v>0</v>
      </c>
      <c r="J17" s="158">
        <v>26.655</v>
      </c>
      <c r="K17" s="198">
        <f t="shared" si="1"/>
        <v>719.2929999999999</v>
      </c>
      <c r="L17" s="160">
        <v>0</v>
      </c>
      <c r="M17" s="158">
        <v>0</v>
      </c>
      <c r="N17" s="158">
        <v>27.564</v>
      </c>
      <c r="O17" s="198">
        <f t="shared" si="2"/>
        <v>746.8569999999999</v>
      </c>
      <c r="P17" s="160">
        <v>0</v>
      </c>
      <c r="Q17" s="158">
        <v>0</v>
      </c>
      <c r="R17" s="158">
        <v>28.508</v>
      </c>
      <c r="S17" s="198">
        <f t="shared" si="3"/>
        <v>775.3649999999999</v>
      </c>
    </row>
    <row r="18" spans="1:19" s="57" customFormat="1" ht="26.25" customHeight="1">
      <c r="A18" s="17" t="s">
        <v>239</v>
      </c>
      <c r="B18" s="200">
        <f>SUM(B11:B17)</f>
        <v>85567.65</v>
      </c>
      <c r="C18" s="201">
        <f aca="true" t="shared" si="4" ref="C18:S18">SUM(C11:C17)</f>
        <v>628</v>
      </c>
      <c r="D18" s="199">
        <f t="shared" si="4"/>
        <v>4279.4</v>
      </c>
      <c r="E18" s="199">
        <f t="shared" si="4"/>
        <v>-1547.5</v>
      </c>
      <c r="F18" s="199">
        <f t="shared" si="4"/>
        <v>2019.104</v>
      </c>
      <c r="G18" s="200">
        <f>SUM(G11:G17)-1</f>
        <v>90945.654</v>
      </c>
      <c r="H18" s="201">
        <f t="shared" si="4"/>
        <v>291</v>
      </c>
      <c r="I18" s="199">
        <f t="shared" si="4"/>
        <v>-531</v>
      </c>
      <c r="J18" s="199">
        <f t="shared" si="4"/>
        <v>2129.439</v>
      </c>
      <c r="K18" s="200">
        <f t="shared" si="4"/>
        <v>92836.09300000001</v>
      </c>
      <c r="L18" s="201">
        <f t="shared" si="4"/>
        <v>308</v>
      </c>
      <c r="M18" s="199">
        <f t="shared" si="4"/>
        <v>0</v>
      </c>
      <c r="N18" s="199">
        <f t="shared" si="4"/>
        <v>2141.3329999999996</v>
      </c>
      <c r="O18" s="200">
        <f t="shared" si="4"/>
        <v>95285.42599999999</v>
      </c>
      <c r="P18" s="201">
        <f t="shared" si="4"/>
        <v>326</v>
      </c>
      <c r="Q18" s="199">
        <f t="shared" si="4"/>
        <v>0</v>
      </c>
      <c r="R18" s="199">
        <f t="shared" si="4"/>
        <v>2152.875</v>
      </c>
      <c r="S18" s="200">
        <f t="shared" si="4"/>
        <v>97764.301</v>
      </c>
    </row>
    <row r="19" spans="1:19" s="57" customFormat="1" ht="26.25" customHeight="1">
      <c r="A19" s="136" t="s">
        <v>75</v>
      </c>
      <c r="B19" s="198"/>
      <c r="C19" s="160"/>
      <c r="D19" s="158"/>
      <c r="E19" s="158"/>
      <c r="F19" s="158"/>
      <c r="G19" s="198"/>
      <c r="H19" s="160"/>
      <c r="I19" s="158">
        <v>-1102</v>
      </c>
      <c r="J19" s="158"/>
      <c r="K19" s="198">
        <f t="shared" si="1"/>
        <v>-1102</v>
      </c>
      <c r="L19" s="160"/>
      <c r="M19" s="158">
        <v>-1643</v>
      </c>
      <c r="N19" s="158"/>
      <c r="O19" s="198">
        <f>SUM(K19:N19)</f>
        <v>-2745</v>
      </c>
      <c r="P19" s="160"/>
      <c r="Q19" s="158">
        <v>-1652</v>
      </c>
      <c r="R19" s="158"/>
      <c r="S19" s="198">
        <f>SUM(O19:R19)</f>
        <v>-4397</v>
      </c>
    </row>
    <row r="20" spans="1:19" s="57" customFormat="1" ht="26.25" customHeight="1">
      <c r="A20" s="210" t="s">
        <v>240</v>
      </c>
      <c r="B20" s="200">
        <f>SUM(B18:B19)</f>
        <v>85567.65</v>
      </c>
      <c r="C20" s="161">
        <f aca="true" t="shared" si="5" ref="C20:S20">SUM(C18:C19)</f>
        <v>628</v>
      </c>
      <c r="D20" s="155">
        <f t="shared" si="5"/>
        <v>4279.4</v>
      </c>
      <c r="E20" s="155">
        <f t="shared" si="5"/>
        <v>-1547.5</v>
      </c>
      <c r="F20" s="155">
        <f t="shared" si="5"/>
        <v>2019.104</v>
      </c>
      <c r="G20" s="200">
        <f t="shared" si="5"/>
        <v>90945.654</v>
      </c>
      <c r="H20" s="161">
        <f t="shared" si="5"/>
        <v>291</v>
      </c>
      <c r="I20" s="155">
        <f t="shared" si="5"/>
        <v>-1633</v>
      </c>
      <c r="J20" s="155">
        <f t="shared" si="5"/>
        <v>2129.439</v>
      </c>
      <c r="K20" s="200">
        <f t="shared" si="5"/>
        <v>91734.09300000001</v>
      </c>
      <c r="L20" s="161">
        <f t="shared" si="5"/>
        <v>308</v>
      </c>
      <c r="M20" s="155">
        <f t="shared" si="5"/>
        <v>-1643</v>
      </c>
      <c r="N20" s="155">
        <f t="shared" si="5"/>
        <v>2141.3329999999996</v>
      </c>
      <c r="O20" s="200">
        <f t="shared" si="5"/>
        <v>92540.42599999999</v>
      </c>
      <c r="P20" s="161">
        <f t="shared" si="5"/>
        <v>326</v>
      </c>
      <c r="Q20" s="155">
        <f>SUM(Q18:Q19)</f>
        <v>-1652</v>
      </c>
      <c r="R20" s="155">
        <f t="shared" si="5"/>
        <v>2152.875</v>
      </c>
      <c r="S20" s="200">
        <f t="shared" si="5"/>
        <v>93367.301</v>
      </c>
    </row>
    <row r="21" ht="12.75">
      <c r="C21" s="142"/>
    </row>
    <row r="22" ht="12.75">
      <c r="A22" s="133" t="s">
        <v>23</v>
      </c>
    </row>
    <row r="23" ht="12.75">
      <c r="A23" s="133" t="s">
        <v>178</v>
      </c>
    </row>
    <row r="24" ht="12.75">
      <c r="A24" s="133" t="s">
        <v>179</v>
      </c>
    </row>
    <row r="25" ht="12.75">
      <c r="A25" s="133" t="s">
        <v>180</v>
      </c>
    </row>
    <row r="26" ht="12.75">
      <c r="A26" s="133" t="s">
        <v>181</v>
      </c>
    </row>
    <row r="29" ht="12.75">
      <c r="A29" s="134"/>
    </row>
    <row r="31" ht="12.75">
      <c r="A31" s="131"/>
    </row>
    <row r="32" ht="12.75">
      <c r="A32" s="131"/>
    </row>
    <row r="33" ht="12.75">
      <c r="A33" s="131"/>
    </row>
    <row r="34" ht="12.75">
      <c r="A34" s="131"/>
    </row>
  </sheetData>
  <mergeCells count="6">
    <mergeCell ref="P4:S4"/>
    <mergeCell ref="A2:V2"/>
    <mergeCell ref="A4:A9"/>
    <mergeCell ref="C4:G4"/>
    <mergeCell ref="H4:K4"/>
    <mergeCell ref="L4:O4"/>
  </mergeCells>
  <printOptions/>
  <pageMargins left="0.54" right="0.18" top="1" bottom="0.64" header="0.5" footer="0.45"/>
  <pageSetup fitToHeight="1" fitToWidth="1" horizontalDpi="600" verticalDpi="600" orientation="landscape" paperSize="9" scale="65" r:id="rId1"/>
  <headerFooter alignWithMargins="0">
    <oddHeader>&amp;R&amp;"Arial,Bold"&amp;8APPENDIX C</oddHeader>
    <oddFooter>&amp;L&amp;F\&amp;A&amp;R&amp;9 100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moorec</dc:creator>
  <cp:keywords/>
  <dc:description/>
  <cp:lastModifiedBy>Zebunnissa Ali</cp:lastModifiedBy>
  <cp:lastPrinted>2005-02-09T10:16:07Z</cp:lastPrinted>
  <dcterms:created xsi:type="dcterms:W3CDTF">2005-01-31T10:31:28Z</dcterms:created>
  <dcterms:modified xsi:type="dcterms:W3CDTF">2005-02-09T10:16:19Z</dcterms:modified>
  <cp:category/>
  <cp:version/>
  <cp:contentType/>
  <cp:contentStatus/>
</cp:coreProperties>
</file>