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4"/>
  </bookViews>
  <sheets>
    <sheet name="Corporate" sheetId="1" r:id="rId1"/>
    <sheet name="C&amp;F Summary" sheetId="2" r:id="rId2"/>
    <sheet name="Environment &amp; Culture" sheetId="3" r:id="rId3"/>
    <sheet name="H&amp;CC - Housing" sheetId="4" r:id="rId4"/>
    <sheet name="H&amp;CC - Adult Social Care" sheetId="5" r:id="rId5"/>
  </sheets>
  <definedNames/>
  <calcPr fullCalcOnLoad="1"/>
</workbook>
</file>

<file path=xl/sharedStrings.xml><?xml version="1.0" encoding="utf-8"?>
<sst xmlns="http://schemas.openxmlformats.org/spreadsheetml/2006/main" count="248" uniqueCount="116">
  <si>
    <t>YEAR 2</t>
  </si>
  <si>
    <t>YEAR 3</t>
  </si>
  <si>
    <t>Notes:</t>
  </si>
  <si>
    <t>YEAR 1</t>
  </si>
  <si>
    <t>YEAR 4</t>
  </si>
  <si>
    <t>YEAR 5</t>
  </si>
  <si>
    <t>ITEM</t>
  </si>
  <si>
    <t xml:space="preserve">                         Agreed Growth                          £’000               (3)</t>
  </si>
  <si>
    <t xml:space="preserve">                         Inflation                                  £’000                (5)</t>
  </si>
  <si>
    <t xml:space="preserve">                         Inflation                                  £’000                (9)</t>
  </si>
  <si>
    <t xml:space="preserve">                         Inflation                                  £’000                (13)</t>
  </si>
  <si>
    <t xml:space="preserve">                         Inflation                                  £’000                (17)</t>
  </si>
  <si>
    <t>2005/2006 Approved Budget          £’000                       (1)</t>
  </si>
  <si>
    <t xml:space="preserve">  Budget Virements                       &amp; Technical Adjustments                          £’000               (2)</t>
  </si>
  <si>
    <t xml:space="preserve">                        Committed &amp; Additional   Savings     £’000                (4)</t>
  </si>
  <si>
    <t>2006/2007        Budget      Forecast     £’000                  (6)</t>
  </si>
  <si>
    <t xml:space="preserve">  Budget Virements                       &amp; Technical Adjustments                          £’000               (7)</t>
  </si>
  <si>
    <t xml:space="preserve">                        Committed &amp; Additional   Savings     £’000                (8)</t>
  </si>
  <si>
    <t xml:space="preserve">  Budget Virements                       &amp; Technical Adjustments                          £’000               (11)</t>
  </si>
  <si>
    <t xml:space="preserve">                        Committed &amp; Additional   Savings     £’000                (12)</t>
  </si>
  <si>
    <t>2007/2008              Budget               Forecast             £’000               (10)</t>
  </si>
  <si>
    <t>2008/2009              Budget               Forecast             £’000               (14)</t>
  </si>
  <si>
    <t xml:space="preserve">  Budget Virements                       &amp; Technical Adjustments                          £’000               (15)</t>
  </si>
  <si>
    <t xml:space="preserve">                        Committed &amp; Additional   Savings     £’000                (16)</t>
  </si>
  <si>
    <t>2009/2010              Budget               Forecast             £’000               (18)</t>
  </si>
  <si>
    <t>1. Item - the items of expenditure per Appendix 2</t>
  </si>
  <si>
    <t>2. 2006/2007 Budget = Column 1 + 2 + 3 + 4 + 5</t>
  </si>
  <si>
    <t xml:space="preserve">3. 2007/2008 Budget = Column  6 + 7 + 8 + 9 </t>
  </si>
  <si>
    <t>4. 2008/2009 Budget = Column 10 + 11 + 12 + 13</t>
  </si>
  <si>
    <t>5. 2009/2010 Budget = Column 14 + 15 + 16 + 17</t>
  </si>
  <si>
    <t>Strategic Management</t>
  </si>
  <si>
    <t>Specific Grants</t>
  </si>
  <si>
    <t>Access</t>
  </si>
  <si>
    <t>Other LEA Services</t>
  </si>
  <si>
    <t>Total</t>
  </si>
  <si>
    <t>CFD Budget</t>
  </si>
  <si>
    <t>Savings to be Identified</t>
  </si>
  <si>
    <t>CHIEF EXECUTIVE</t>
  </si>
  <si>
    <t>COMMUNICATIONS &amp; CONSULTATION</t>
  </si>
  <si>
    <t>HUMAN RESOURCES</t>
  </si>
  <si>
    <t>INFORMATION TECHNOLOGY</t>
  </si>
  <si>
    <t>LEGAL &amp; DEMOCRATIC</t>
  </si>
  <si>
    <t>POLICY &amp; REGENERATION</t>
  </si>
  <si>
    <t>SRB SERVICES</t>
  </si>
  <si>
    <t>OTHER CORPORATE</t>
  </si>
  <si>
    <t>NEIGHBOURHOOD RENEWAL</t>
  </si>
  <si>
    <t>TOTAL</t>
  </si>
  <si>
    <t>SAVINGS TO BE FOUND</t>
  </si>
  <si>
    <t>FINANCE &amp; CORPORATE RESOURCES</t>
  </si>
  <si>
    <t>FINANCE</t>
  </si>
  <si>
    <t>PROPERTY &amp; ASSET MANAGEMENT</t>
  </si>
  <si>
    <t>DIVISION: HOUSING AND CUSTOMER SERVICES</t>
  </si>
  <si>
    <t xml:space="preserve">BUDGET MATRIX </t>
  </si>
  <si>
    <t>Public Sector</t>
  </si>
  <si>
    <t>Travellers site SLA</t>
  </si>
  <si>
    <t xml:space="preserve">Housing Resources Centre </t>
  </si>
  <si>
    <t>Temporary Accommodation</t>
  </si>
  <si>
    <t>Recharges to HRA</t>
  </si>
  <si>
    <t>Housing Client Budgets</t>
  </si>
  <si>
    <t>Sub Total</t>
  </si>
  <si>
    <t>Travellers site Client</t>
  </si>
  <si>
    <t>Private Sector</t>
  </si>
  <si>
    <t>Private Housing Services</t>
  </si>
  <si>
    <t>Private Housing Info Unit</t>
  </si>
  <si>
    <t>B &amp; B Inspections</t>
  </si>
  <si>
    <t>IT</t>
  </si>
  <si>
    <t>Legal Fees</t>
  </si>
  <si>
    <t>Other</t>
  </si>
  <si>
    <t>Bed &amp; Breakfast HB Deficit</t>
  </si>
  <si>
    <t>One Stop  Shop</t>
  </si>
  <si>
    <t>Advice Centres</t>
  </si>
  <si>
    <t xml:space="preserve">Supporting People Team </t>
  </si>
  <si>
    <t>South Kilburn Regeneration</t>
  </si>
  <si>
    <t>Brent Energy Network</t>
  </si>
  <si>
    <t>Policy and Development Unit</t>
  </si>
  <si>
    <t>Unidentified Savings</t>
  </si>
  <si>
    <t>BUILDING CONTROL</t>
  </si>
  <si>
    <t>CEMETERIES AND MORTUARY</t>
  </si>
  <si>
    <t>DIRECTORATE</t>
  </si>
  <si>
    <t>ENVIRONMENTAL HEALTH</t>
  </si>
  <si>
    <t>HEALTH, SAFETY &amp; LICENSING</t>
  </si>
  <si>
    <t>PARKS</t>
  </si>
  <si>
    <t>PLANNING SERVICE</t>
  </si>
  <si>
    <t>REGISTRARS BDM</t>
  </si>
  <si>
    <t>SPORTS</t>
  </si>
  <si>
    <t>STREETCARE</t>
  </si>
  <si>
    <t>TRADING STANDARDS</t>
  </si>
  <si>
    <t>TRANSPORTATION</t>
  </si>
  <si>
    <t>PARKING</t>
  </si>
  <si>
    <t>LIBRARIES</t>
  </si>
  <si>
    <t>BACES</t>
  </si>
  <si>
    <t>CREATIVE  DEVELOPMENT</t>
  </si>
  <si>
    <t>HERITAGE</t>
  </si>
  <si>
    <t>MEMO ITEMS</t>
  </si>
  <si>
    <t>DIVISION: ADULT &amp; SOCIAL CARE</t>
  </si>
  <si>
    <t>OLDER PEOPLE</t>
  </si>
  <si>
    <t>LEARNING DISABILITIES</t>
  </si>
  <si>
    <t>PHYSICAL DISABILITIES</t>
  </si>
  <si>
    <t>MENTAL HEALTH</t>
  </si>
  <si>
    <t>EMERGENCY DUTY TEAM</t>
  </si>
  <si>
    <t>SUPPORT SERVICES</t>
  </si>
  <si>
    <t>VOLUNTARY SECTOR - GRANTS</t>
  </si>
  <si>
    <t>VOLUNTARY SECTOR - OPERATING</t>
  </si>
  <si>
    <t>TOTAL ADULT SERVICES</t>
  </si>
  <si>
    <t>TOTAL VOLUNTARY SECTOR</t>
  </si>
  <si>
    <t xml:space="preserve">TOTAL </t>
  </si>
  <si>
    <t>UNIDENTIFIED SAVINGS</t>
  </si>
  <si>
    <t>E-GOVERNMENT SAVINGS</t>
  </si>
  <si>
    <t>Faciliating School Improvements</t>
  </si>
  <si>
    <t>Special Education Needs</t>
  </si>
  <si>
    <t>Social Care Division</t>
  </si>
  <si>
    <t>SERVICE AREA:  CORPORATE</t>
  </si>
  <si>
    <t>SERVICE AREA:  CHILDREN &amp; FAMILIES</t>
  </si>
  <si>
    <t>SERVICE AREA:  ENVIRONMENT &amp; CULTURE</t>
  </si>
  <si>
    <t xml:space="preserve">SERVICE AREA: HOUSING AND COMMUNITY CARE  </t>
  </si>
  <si>
    <t>TOTAL SAVINGS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</si>
</sst>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#,###;\ \(#,###\)"/>
    <numFmt numFmtId="166" formatCode="_(* #,##0.00_);_(* \(#,##0.00\);_(* &quot;-&quot;_);_(@_)"/>
    <numFmt numFmtId="167" formatCode="#,##0;[Red]\(#,##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;\(#,##0\)"/>
    <numFmt numFmtId="179" formatCode="_-* #,##0_-;\-* #,##0_-;_-* &quot;-&quot;??_-;_-@_-"/>
    <numFmt numFmtId="180" formatCode="_-* #,##0.0000_-;\-* #,##0.0000_-;_-* &quot;-&quot;????_-;_-@_-"/>
    <numFmt numFmtId="181" formatCode="0000"/>
    <numFmt numFmtId="182" formatCode="[$€-2]\ #,##0.00_);[Red]\([$€-2]\ #,##0.00\)"/>
    <numFmt numFmtId="183" formatCode="#,###;\-#,###;0"/>
    <numFmt numFmtId="184" formatCode="#,###;\(#,###\);0"/>
    <numFmt numFmtId="185" formatCode="0.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3" fillId="0" borderId="4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 wrapText="1"/>
    </xf>
    <xf numFmtId="164" fontId="3" fillId="0" borderId="2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164" fontId="5" fillId="0" borderId="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7" fontId="0" fillId="0" borderId="8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8" xfId="0" applyNumberFormat="1" applyBorder="1" applyAlignment="1">
      <alignment horizontal="right"/>
    </xf>
    <xf numFmtId="184" fontId="0" fillId="0" borderId="8" xfId="0" applyNumberFormat="1" applyFont="1" applyBorder="1" applyAlignment="1">
      <alignment/>
    </xf>
    <xf numFmtId="184" fontId="0" fillId="0" borderId="9" xfId="0" applyNumberFormat="1" applyFont="1" applyBorder="1" applyAlignment="1">
      <alignment/>
    </xf>
    <xf numFmtId="167" fontId="0" fillId="0" borderId="7" xfId="0" applyNumberFormat="1" applyFont="1" applyBorder="1" applyAlignment="1">
      <alignment wrapText="1"/>
    </xf>
    <xf numFmtId="167" fontId="5" fillId="0" borderId="8" xfId="0" applyNumberFormat="1" applyFont="1" applyBorder="1" applyAlignment="1">
      <alignment/>
    </xf>
    <xf numFmtId="184" fontId="5" fillId="0" borderId="8" xfId="0" applyNumberFormat="1" applyFont="1" applyBorder="1" applyAlignment="1">
      <alignment/>
    </xf>
    <xf numFmtId="167" fontId="5" fillId="0" borderId="7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7" fontId="0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left"/>
    </xf>
    <xf numFmtId="167" fontId="9" fillId="0" borderId="8" xfId="0" applyNumberFormat="1" applyFont="1" applyBorder="1" applyAlignment="1">
      <alignment/>
    </xf>
    <xf numFmtId="184" fontId="5" fillId="0" borderId="8" xfId="0" applyNumberFormat="1" applyFont="1" applyBorder="1" applyAlignment="1">
      <alignment wrapText="1"/>
    </xf>
    <xf numFmtId="184" fontId="5" fillId="0" borderId="10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84" fontId="5" fillId="0" borderId="9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3" fillId="0" borderId="8" xfId="0" applyFont="1" applyBorder="1" applyAlignment="1">
      <alignment/>
    </xf>
    <xf numFmtId="1" fontId="6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67" fontId="5" fillId="0" borderId="0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0" fontId="11" fillId="0" borderId="8" xfId="0" applyFont="1" applyBorder="1" applyAlignment="1">
      <alignment horizontal="left"/>
    </xf>
    <xf numFmtId="184" fontId="0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3860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403860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G28" sqref="G28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111</v>
      </c>
      <c r="V1" s="1"/>
    </row>
    <row r="2" spans="1:23" ht="1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23" s="10" customFormat="1" ht="24.75" customHeight="1">
      <c r="A4" s="3"/>
      <c r="B4" s="4" t="s">
        <v>3</v>
      </c>
      <c r="C4" s="5"/>
      <c r="D4" s="60" t="s">
        <v>0</v>
      </c>
      <c r="E4" s="61"/>
      <c r="F4" s="61"/>
      <c r="G4" s="61"/>
      <c r="H4" s="62"/>
      <c r="I4" s="8"/>
      <c r="J4" s="63" t="s">
        <v>1</v>
      </c>
      <c r="K4" s="64"/>
      <c r="L4" s="64"/>
      <c r="M4" s="65"/>
      <c r="N4" s="9"/>
      <c r="O4" s="63" t="s">
        <v>4</v>
      </c>
      <c r="P4" s="64"/>
      <c r="Q4" s="64"/>
      <c r="R4" s="65"/>
      <c r="S4" s="9"/>
      <c r="T4" s="6" t="s">
        <v>5</v>
      </c>
      <c r="U4" s="6"/>
      <c r="V4" s="6"/>
      <c r="W4" s="7"/>
    </row>
    <row r="5" spans="1:23" s="26" customFormat="1" ht="90.75" customHeight="1">
      <c r="A5" s="11" t="s">
        <v>6</v>
      </c>
      <c r="B5" s="20" t="s">
        <v>12</v>
      </c>
      <c r="C5" s="21"/>
      <c r="D5" s="22" t="s">
        <v>13</v>
      </c>
      <c r="E5" s="22" t="s">
        <v>7</v>
      </c>
      <c r="F5" s="22" t="s">
        <v>14</v>
      </c>
      <c r="G5" s="22" t="s">
        <v>8</v>
      </c>
      <c r="H5" s="20" t="s">
        <v>15</v>
      </c>
      <c r="I5" s="23"/>
      <c r="J5" s="22" t="s">
        <v>16</v>
      </c>
      <c r="K5" s="22" t="s">
        <v>17</v>
      </c>
      <c r="L5" s="22" t="s">
        <v>9</v>
      </c>
      <c r="M5" s="24" t="s">
        <v>20</v>
      </c>
      <c r="N5" s="25"/>
      <c r="O5" s="22" t="s">
        <v>18</v>
      </c>
      <c r="P5" s="22" t="s">
        <v>19</v>
      </c>
      <c r="Q5" s="22" t="s">
        <v>10</v>
      </c>
      <c r="R5" s="20" t="s">
        <v>21</v>
      </c>
      <c r="S5" s="25"/>
      <c r="T5" s="22" t="s">
        <v>22</v>
      </c>
      <c r="U5" s="22" t="s">
        <v>23</v>
      </c>
      <c r="V5" s="22" t="s">
        <v>11</v>
      </c>
      <c r="W5" s="20" t="s">
        <v>24</v>
      </c>
    </row>
    <row r="6" spans="1:23" ht="24.75" customHeight="1">
      <c r="A6" s="43" t="s">
        <v>48</v>
      </c>
      <c r="B6" s="28"/>
      <c r="C6" s="29"/>
      <c r="D6" s="28"/>
      <c r="E6" s="28"/>
      <c r="F6" s="28"/>
      <c r="G6" s="28"/>
      <c r="H6" s="28"/>
      <c r="I6" s="29"/>
      <c r="J6" s="30"/>
      <c r="K6" s="28"/>
      <c r="L6" s="28"/>
      <c r="M6" s="31"/>
      <c r="N6" s="29"/>
      <c r="O6" s="30"/>
      <c r="P6" s="28"/>
      <c r="Q6" s="28"/>
      <c r="R6" s="28"/>
      <c r="S6" s="29"/>
      <c r="T6" s="30"/>
      <c r="U6" s="28"/>
      <c r="V6" s="28"/>
      <c r="W6" s="28"/>
    </row>
    <row r="7" spans="1:23" ht="24.75" customHeight="1">
      <c r="A7" s="40" t="s">
        <v>49</v>
      </c>
      <c r="B7" s="28">
        <f>7622-227-20</f>
        <v>7375</v>
      </c>
      <c r="C7" s="29"/>
      <c r="D7" s="28">
        <f>-168+68</f>
        <v>-100</v>
      </c>
      <c r="E7" s="28"/>
      <c r="F7" s="28">
        <v>-211</v>
      </c>
      <c r="G7" s="28">
        <v>277</v>
      </c>
      <c r="H7" s="28">
        <f>SUM(B7:G7)</f>
        <v>7341</v>
      </c>
      <c r="I7" s="29"/>
      <c r="J7" s="30">
        <f>72-11+11</f>
        <v>72</v>
      </c>
      <c r="K7" s="28"/>
      <c r="L7" s="28">
        <f>289-11</f>
        <v>278</v>
      </c>
      <c r="M7" s="31">
        <f>SUM(H7:L7)</f>
        <v>7691</v>
      </c>
      <c r="N7" s="29"/>
      <c r="O7" s="30">
        <f>76-11+11</f>
        <v>76</v>
      </c>
      <c r="P7" s="28">
        <f>-177+177</f>
        <v>0</v>
      </c>
      <c r="Q7" s="28">
        <f>222-11</f>
        <v>211</v>
      </c>
      <c r="R7" s="28">
        <f>SUM(M7:Q7)</f>
        <v>7978</v>
      </c>
      <c r="S7" s="29"/>
      <c r="T7" s="30"/>
      <c r="U7" s="28"/>
      <c r="V7" s="28">
        <v>293</v>
      </c>
      <c r="W7" s="28">
        <f>SUM(R7:V7)</f>
        <v>8271</v>
      </c>
    </row>
    <row r="8" spans="1:23" ht="24.75" customHeight="1">
      <c r="A8" s="27" t="s">
        <v>50</v>
      </c>
      <c r="B8" s="28">
        <f>390+30</f>
        <v>420</v>
      </c>
      <c r="C8" s="29"/>
      <c r="D8" s="28">
        <f>22</f>
        <v>22</v>
      </c>
      <c r="E8" s="28"/>
      <c r="F8" s="28">
        <v>-193</v>
      </c>
      <c r="G8" s="28">
        <f>10+8</f>
        <v>18</v>
      </c>
      <c r="H8" s="28">
        <f>SUM(B8:G8)</f>
        <v>267</v>
      </c>
      <c r="I8" s="29"/>
      <c r="J8" s="30">
        <f>18+5</f>
        <v>23</v>
      </c>
      <c r="K8" s="28"/>
      <c r="L8" s="28">
        <f>10+9</f>
        <v>19</v>
      </c>
      <c r="M8" s="31">
        <f>SUM(H8:L8)</f>
        <v>309</v>
      </c>
      <c r="N8" s="29"/>
      <c r="O8" s="30">
        <f>6+19</f>
        <v>25</v>
      </c>
      <c r="P8" s="28"/>
      <c r="Q8" s="28">
        <f>11-5</f>
        <v>6</v>
      </c>
      <c r="R8" s="28">
        <f>SUM(M8:Q8)</f>
        <v>340</v>
      </c>
      <c r="S8" s="29"/>
      <c r="T8" s="30"/>
      <c r="U8" s="28"/>
      <c r="V8" s="28">
        <f>20</f>
        <v>20</v>
      </c>
      <c r="W8" s="28">
        <f>SUM(R8:V8)</f>
        <v>360</v>
      </c>
    </row>
    <row r="9" spans="1:23" ht="24.75" customHeight="1">
      <c r="A9" s="27" t="s">
        <v>40</v>
      </c>
      <c r="B9" s="28">
        <f>1504-100</f>
        <v>1404</v>
      </c>
      <c r="C9" s="29"/>
      <c r="D9" s="28">
        <v>33</v>
      </c>
      <c r="E9" s="28"/>
      <c r="F9" s="28">
        <f>-207+80</f>
        <v>-127</v>
      </c>
      <c r="G9" s="28">
        <v>44</v>
      </c>
      <c r="H9" s="28">
        <f>SUM(B9:G9)</f>
        <v>1354</v>
      </c>
      <c r="I9" s="29"/>
      <c r="J9" s="30">
        <v>35</v>
      </c>
      <c r="K9" s="28"/>
      <c r="L9" s="28">
        <v>46</v>
      </c>
      <c r="M9" s="31">
        <f>SUM(H9:L9)</f>
        <v>1435</v>
      </c>
      <c r="N9" s="29"/>
      <c r="O9" s="30">
        <v>37</v>
      </c>
      <c r="P9" s="28"/>
      <c r="Q9" s="28">
        <v>48</v>
      </c>
      <c r="R9" s="28">
        <f>SUM(M9:Q9)</f>
        <v>1520</v>
      </c>
      <c r="S9" s="29"/>
      <c r="T9" s="30"/>
      <c r="U9" s="28">
        <v>-101</v>
      </c>
      <c r="V9" s="28">
        <v>68</v>
      </c>
      <c r="W9" s="28">
        <f>SUM(R9:V9)</f>
        <v>1487</v>
      </c>
    </row>
    <row r="10" spans="1:23" ht="21" customHeight="1">
      <c r="A10" s="27"/>
      <c r="B10" s="28"/>
      <c r="C10" s="29"/>
      <c r="D10" s="28"/>
      <c r="E10" s="28"/>
      <c r="F10" s="28"/>
      <c r="G10" s="28"/>
      <c r="H10" s="28"/>
      <c r="I10" s="29"/>
      <c r="J10" s="30"/>
      <c r="K10" s="28"/>
      <c r="L10" s="28"/>
      <c r="M10" s="31"/>
      <c r="N10" s="29"/>
      <c r="O10" s="30"/>
      <c r="P10" s="28"/>
      <c r="Q10" s="28"/>
      <c r="R10" s="28"/>
      <c r="S10" s="29"/>
      <c r="T10" s="30"/>
      <c r="U10" s="28"/>
      <c r="V10" s="28"/>
      <c r="W10" s="28"/>
    </row>
    <row r="11" spans="1:23" ht="21" customHeight="1">
      <c r="A11" s="27" t="s">
        <v>105</v>
      </c>
      <c r="B11" s="28">
        <f>SUM(B7:B10)</f>
        <v>9199</v>
      </c>
      <c r="C11" s="29"/>
      <c r="D11" s="28">
        <f>SUM(D7:D10)</f>
        <v>-45</v>
      </c>
      <c r="E11" s="28">
        <f>SUM(E7:E10)</f>
        <v>0</v>
      </c>
      <c r="F11" s="28">
        <f>SUM(F7:F10)</f>
        <v>-531</v>
      </c>
      <c r="G11" s="28">
        <f>SUM(G7:G10)</f>
        <v>339</v>
      </c>
      <c r="H11" s="28">
        <f>SUM(H7:H10)</f>
        <v>8962</v>
      </c>
      <c r="I11" s="29"/>
      <c r="J11" s="28">
        <f>SUM(J7:J10)</f>
        <v>130</v>
      </c>
      <c r="K11" s="28">
        <f>SUM(K7:K10)</f>
        <v>0</v>
      </c>
      <c r="L11" s="28">
        <f>SUM(L7:L10)</f>
        <v>343</v>
      </c>
      <c r="M11" s="28">
        <f>SUM(M7:M10)</f>
        <v>9435</v>
      </c>
      <c r="N11" s="29"/>
      <c r="O11" s="28">
        <f>SUM(O7:O10)</f>
        <v>138</v>
      </c>
      <c r="P11" s="28">
        <f>SUM(P7:P10)</f>
        <v>0</v>
      </c>
      <c r="Q11" s="28">
        <f>SUM(Q7:Q10)</f>
        <v>265</v>
      </c>
      <c r="R11" s="28">
        <f>SUM(R7:R10)</f>
        <v>9838</v>
      </c>
      <c r="S11" s="29"/>
      <c r="T11" s="28">
        <f>SUM(T7:T10)</f>
        <v>0</v>
      </c>
      <c r="U11" s="28">
        <f>SUM(U7:U10)</f>
        <v>-101</v>
      </c>
      <c r="V11" s="28">
        <f>SUM(V7:V10)</f>
        <v>381</v>
      </c>
      <c r="W11" s="28">
        <f>SUM(W7:W10)</f>
        <v>10118</v>
      </c>
    </row>
    <row r="12" spans="1:23" ht="21" customHeight="1">
      <c r="A12" s="27"/>
      <c r="B12" s="28"/>
      <c r="C12" s="29"/>
      <c r="D12" s="28"/>
      <c r="E12" s="28"/>
      <c r="F12" s="28"/>
      <c r="G12" s="28"/>
      <c r="H12" s="28"/>
      <c r="I12" s="29"/>
      <c r="J12" s="30"/>
      <c r="K12" s="28"/>
      <c r="L12" s="28"/>
      <c r="M12" s="31"/>
      <c r="N12" s="29"/>
      <c r="O12" s="30"/>
      <c r="P12" s="28"/>
      <c r="Q12" s="28"/>
      <c r="R12" s="28"/>
      <c r="S12" s="29"/>
      <c r="T12" s="30"/>
      <c r="U12" s="28"/>
      <c r="V12" s="28"/>
      <c r="W12" s="28"/>
    </row>
    <row r="13" spans="1:23" ht="24.75" customHeight="1">
      <c r="A13" s="27" t="s">
        <v>37</v>
      </c>
      <c r="B13" s="28">
        <f>719+25</f>
        <v>744</v>
      </c>
      <c r="C13" s="29"/>
      <c r="D13" s="28">
        <v>3</v>
      </c>
      <c r="E13" s="28"/>
      <c r="F13" s="28"/>
      <c r="G13" s="28">
        <v>11</v>
      </c>
      <c r="H13" s="28">
        <f aca="true" t="shared" si="0" ref="H13:H20">SUM(B13:G13)</f>
        <v>758</v>
      </c>
      <c r="I13" s="29"/>
      <c r="J13" s="30">
        <v>4</v>
      </c>
      <c r="K13" s="28"/>
      <c r="L13" s="28">
        <v>9</v>
      </c>
      <c r="M13" s="31">
        <f aca="true" t="shared" si="1" ref="M13:M25">SUM(H13:L13)</f>
        <v>771</v>
      </c>
      <c r="N13" s="29"/>
      <c r="O13" s="30">
        <v>4</v>
      </c>
      <c r="P13" s="28"/>
      <c r="Q13" s="28">
        <v>18</v>
      </c>
      <c r="R13" s="28">
        <f aca="true" t="shared" si="2" ref="R13:R25">SUM(M13:Q13)</f>
        <v>793</v>
      </c>
      <c r="S13" s="29"/>
      <c r="T13" s="30"/>
      <c r="U13" s="28"/>
      <c r="V13" s="28">
        <v>24</v>
      </c>
      <c r="W13" s="28">
        <f aca="true" t="shared" si="3" ref="W13:W21">SUM(R13:V13)</f>
        <v>817</v>
      </c>
    </row>
    <row r="14" spans="1:23" ht="24.75" customHeight="1">
      <c r="A14" s="27" t="s">
        <v>38</v>
      </c>
      <c r="B14" s="28">
        <f>2296+20</f>
        <v>2316</v>
      </c>
      <c r="C14" s="29"/>
      <c r="D14" s="28">
        <f>10-45-72-20</f>
        <v>-127</v>
      </c>
      <c r="E14" s="28"/>
      <c r="F14" s="28">
        <v>-57</v>
      </c>
      <c r="G14" s="28">
        <v>42</v>
      </c>
      <c r="H14" s="28">
        <f t="shared" si="0"/>
        <v>2174</v>
      </c>
      <c r="I14" s="29"/>
      <c r="J14" s="30">
        <v>11</v>
      </c>
      <c r="K14" s="28"/>
      <c r="L14" s="28">
        <v>42</v>
      </c>
      <c r="M14" s="31">
        <f t="shared" si="1"/>
        <v>2227</v>
      </c>
      <c r="N14" s="29"/>
      <c r="O14" s="30">
        <v>12</v>
      </c>
      <c r="P14" s="28"/>
      <c r="Q14" s="28">
        <v>43</v>
      </c>
      <c r="R14" s="28">
        <f t="shared" si="2"/>
        <v>2282</v>
      </c>
      <c r="S14" s="29"/>
      <c r="T14" s="30"/>
      <c r="U14" s="28"/>
      <c r="V14" s="28">
        <v>44</v>
      </c>
      <c r="W14" s="28">
        <f t="shared" si="3"/>
        <v>2326</v>
      </c>
    </row>
    <row r="15" spans="1:23" ht="24.75" customHeight="1">
      <c r="A15" s="27" t="s">
        <v>39</v>
      </c>
      <c r="B15" s="28">
        <f>2283+73</f>
        <v>2356</v>
      </c>
      <c r="C15" s="29"/>
      <c r="D15" s="28">
        <f>19-73</f>
        <v>-54</v>
      </c>
      <c r="E15" s="28"/>
      <c r="F15" s="28">
        <v>-76</v>
      </c>
      <c r="G15" s="28">
        <v>56</v>
      </c>
      <c r="H15" s="28">
        <f t="shared" si="0"/>
        <v>2282</v>
      </c>
      <c r="I15" s="29"/>
      <c r="J15" s="30">
        <v>20</v>
      </c>
      <c r="K15" s="28"/>
      <c r="L15" s="28">
        <v>56</v>
      </c>
      <c r="M15" s="31">
        <f t="shared" si="1"/>
        <v>2358</v>
      </c>
      <c r="N15" s="29"/>
      <c r="O15" s="30">
        <v>21</v>
      </c>
      <c r="P15" s="28"/>
      <c r="Q15" s="28">
        <v>64</v>
      </c>
      <c r="R15" s="28">
        <f t="shared" si="2"/>
        <v>2443</v>
      </c>
      <c r="S15" s="29"/>
      <c r="T15" s="30"/>
      <c r="U15" s="28"/>
      <c r="V15" s="28">
        <v>66</v>
      </c>
      <c r="W15" s="28">
        <f t="shared" si="3"/>
        <v>2509</v>
      </c>
    </row>
    <row r="16" spans="1:23" ht="24.75" customHeight="1">
      <c r="A16" s="27" t="s">
        <v>41</v>
      </c>
      <c r="B16" s="28">
        <v>1601</v>
      </c>
      <c r="C16" s="29"/>
      <c r="D16" s="28">
        <f>31-18-40-10</f>
        <v>-37</v>
      </c>
      <c r="E16" s="28"/>
      <c r="F16" s="28">
        <v>-55</v>
      </c>
      <c r="G16" s="32">
        <v>28</v>
      </c>
      <c r="H16" s="28">
        <f t="shared" si="0"/>
        <v>1537</v>
      </c>
      <c r="I16" s="29"/>
      <c r="J16" s="30">
        <v>33</v>
      </c>
      <c r="K16" s="28"/>
      <c r="L16" s="32">
        <v>29</v>
      </c>
      <c r="M16" s="31">
        <f t="shared" si="1"/>
        <v>1599</v>
      </c>
      <c r="N16" s="29"/>
      <c r="O16" s="30">
        <v>35</v>
      </c>
      <c r="P16" s="28"/>
      <c r="Q16" s="32">
        <v>30</v>
      </c>
      <c r="R16" s="28">
        <f t="shared" si="2"/>
        <v>1664</v>
      </c>
      <c r="S16" s="29"/>
      <c r="T16" s="30"/>
      <c r="U16" s="28"/>
      <c r="V16" s="32">
        <v>41</v>
      </c>
      <c r="W16" s="28">
        <f t="shared" si="3"/>
        <v>1705</v>
      </c>
    </row>
    <row r="17" spans="1:23" ht="24.75" customHeight="1">
      <c r="A17" s="27" t="s">
        <v>42</v>
      </c>
      <c r="B17" s="28">
        <v>3137</v>
      </c>
      <c r="C17" s="29"/>
      <c r="D17" s="28">
        <f>24-50-250-260</f>
        <v>-536</v>
      </c>
      <c r="E17" s="28"/>
      <c r="F17" s="28">
        <v>-54</v>
      </c>
      <c r="G17" s="32">
        <v>73</v>
      </c>
      <c r="H17" s="28">
        <f t="shared" si="0"/>
        <v>2620</v>
      </c>
      <c r="I17" s="29"/>
      <c r="J17" s="30">
        <v>26</v>
      </c>
      <c r="K17" s="28"/>
      <c r="L17" s="32">
        <v>75</v>
      </c>
      <c r="M17" s="31">
        <f t="shared" si="1"/>
        <v>2721</v>
      </c>
      <c r="N17" s="29"/>
      <c r="O17" s="30">
        <v>27</v>
      </c>
      <c r="P17" s="28"/>
      <c r="Q17" s="32">
        <v>74</v>
      </c>
      <c r="R17" s="28">
        <f t="shared" si="2"/>
        <v>2822</v>
      </c>
      <c r="S17" s="29"/>
      <c r="T17" s="30"/>
      <c r="U17" s="28"/>
      <c r="V17" s="32">
        <v>77</v>
      </c>
      <c r="W17" s="28">
        <f t="shared" si="3"/>
        <v>2899</v>
      </c>
    </row>
    <row r="18" spans="1:23" ht="24.75" customHeight="1">
      <c r="A18" s="27" t="s">
        <v>43</v>
      </c>
      <c r="B18" s="28">
        <v>265</v>
      </c>
      <c r="C18" s="29"/>
      <c r="D18" s="28">
        <v>2</v>
      </c>
      <c r="E18" s="28"/>
      <c r="F18" s="28">
        <v>-5</v>
      </c>
      <c r="G18" s="32">
        <v>5</v>
      </c>
      <c r="H18" s="28">
        <f t="shared" si="0"/>
        <v>267</v>
      </c>
      <c r="I18" s="29"/>
      <c r="J18" s="30">
        <v>2</v>
      </c>
      <c r="K18" s="28"/>
      <c r="L18" s="32">
        <v>6</v>
      </c>
      <c r="M18" s="31">
        <f t="shared" si="1"/>
        <v>275</v>
      </c>
      <c r="N18" s="29"/>
      <c r="O18" s="30">
        <v>2</v>
      </c>
      <c r="P18" s="28"/>
      <c r="Q18" s="32">
        <v>4</v>
      </c>
      <c r="R18" s="28">
        <f t="shared" si="2"/>
        <v>281</v>
      </c>
      <c r="S18" s="29"/>
      <c r="T18" s="30"/>
      <c r="U18" s="28"/>
      <c r="V18" s="32">
        <v>7</v>
      </c>
      <c r="W18" s="28">
        <f t="shared" si="3"/>
        <v>288</v>
      </c>
    </row>
    <row r="19" spans="1:23" ht="24.75" customHeight="1">
      <c r="A19" s="27" t="s">
        <v>44</v>
      </c>
      <c r="B19" s="28">
        <f>65-25</f>
        <v>40</v>
      </c>
      <c r="C19" s="29"/>
      <c r="D19" s="28"/>
      <c r="E19" s="28"/>
      <c r="F19" s="28"/>
      <c r="G19" s="28">
        <v>4</v>
      </c>
      <c r="H19" s="28">
        <f t="shared" si="0"/>
        <v>44</v>
      </c>
      <c r="I19" s="29"/>
      <c r="J19" s="30"/>
      <c r="K19" s="28"/>
      <c r="L19" s="28">
        <v>4</v>
      </c>
      <c r="M19" s="31">
        <f t="shared" si="1"/>
        <v>48</v>
      </c>
      <c r="N19" s="29"/>
      <c r="O19" s="30"/>
      <c r="P19" s="28"/>
      <c r="Q19" s="28">
        <v>4</v>
      </c>
      <c r="R19" s="28">
        <f t="shared" si="2"/>
        <v>52</v>
      </c>
      <c r="S19" s="29"/>
      <c r="T19" s="30"/>
      <c r="U19" s="28"/>
      <c r="V19" s="28">
        <v>4</v>
      </c>
      <c r="W19" s="28">
        <f t="shared" si="3"/>
        <v>56</v>
      </c>
    </row>
    <row r="20" spans="1:23" ht="24.75" customHeight="1">
      <c r="A20" s="27" t="s">
        <v>45</v>
      </c>
      <c r="B20" s="28">
        <v>2279</v>
      </c>
      <c r="C20" s="29"/>
      <c r="D20" s="28"/>
      <c r="E20" s="28"/>
      <c r="F20" s="28"/>
      <c r="G20" s="28"/>
      <c r="H20" s="28">
        <f t="shared" si="0"/>
        <v>2279</v>
      </c>
      <c r="I20" s="29"/>
      <c r="J20" s="30"/>
      <c r="K20" s="28"/>
      <c r="L20" s="28"/>
      <c r="M20" s="31">
        <f t="shared" si="1"/>
        <v>2279</v>
      </c>
      <c r="N20" s="29"/>
      <c r="O20" s="30"/>
      <c r="P20" s="28"/>
      <c r="Q20" s="28"/>
      <c r="R20" s="28">
        <f t="shared" si="2"/>
        <v>2279</v>
      </c>
      <c r="S20" s="29"/>
      <c r="T20" s="30"/>
      <c r="U20" s="28"/>
      <c r="V20" s="28"/>
      <c r="W20" s="28">
        <f t="shared" si="3"/>
        <v>2279</v>
      </c>
    </row>
    <row r="21" spans="1:23" ht="24.75" customHeight="1">
      <c r="A21" s="27"/>
      <c r="B21" s="28"/>
      <c r="C21" s="29"/>
      <c r="D21" s="28"/>
      <c r="E21" s="28"/>
      <c r="F21" s="28"/>
      <c r="G21" s="28"/>
      <c r="H21" s="28"/>
      <c r="I21" s="29"/>
      <c r="J21" s="30"/>
      <c r="K21" s="28"/>
      <c r="L21" s="28"/>
      <c r="M21" s="31">
        <f t="shared" si="1"/>
        <v>0</v>
      </c>
      <c r="N21" s="29"/>
      <c r="O21" s="30"/>
      <c r="P21" s="28"/>
      <c r="Q21" s="28"/>
      <c r="R21" s="28">
        <f t="shared" si="2"/>
        <v>0</v>
      </c>
      <c r="S21" s="29"/>
      <c r="T21" s="30"/>
      <c r="U21" s="28"/>
      <c r="V21" s="28"/>
      <c r="W21" s="28">
        <f t="shared" si="3"/>
        <v>0</v>
      </c>
    </row>
    <row r="22" spans="1:23" s="17" customFormat="1" ht="24.75" customHeight="1">
      <c r="A22" s="46" t="s">
        <v>46</v>
      </c>
      <c r="B22" s="37">
        <f>SUM(B11:B21)</f>
        <v>21937</v>
      </c>
      <c r="C22" s="37">
        <f>SUM(C6:C21)</f>
        <v>0</v>
      </c>
      <c r="D22" s="37">
        <f>SUM(D11:D21)</f>
        <v>-794</v>
      </c>
      <c r="E22" s="37">
        <f>SUM(E11:E21)</f>
        <v>0</v>
      </c>
      <c r="F22" s="37">
        <f>SUM(F11:F21)</f>
        <v>-778</v>
      </c>
      <c r="G22" s="37">
        <f>SUM(G11:G21)</f>
        <v>558</v>
      </c>
      <c r="H22" s="37">
        <f>SUM(H11:H21)</f>
        <v>20923</v>
      </c>
      <c r="I22" s="47"/>
      <c r="J22" s="37">
        <f>SUM(J11:J21)</f>
        <v>226</v>
      </c>
      <c r="K22" s="37">
        <f>SUM(K11:K21)</f>
        <v>0</v>
      </c>
      <c r="L22" s="37">
        <f>SUM(L11:L21)</f>
        <v>564</v>
      </c>
      <c r="M22" s="37">
        <f>SUM(M11:M21)</f>
        <v>21713</v>
      </c>
      <c r="N22" s="47"/>
      <c r="O22" s="37">
        <f>SUM(O11:O21)</f>
        <v>239</v>
      </c>
      <c r="P22" s="37">
        <f>SUM(P11:P21)</f>
        <v>0</v>
      </c>
      <c r="Q22" s="37">
        <f>SUM(Q11:Q21)</f>
        <v>502</v>
      </c>
      <c r="R22" s="37">
        <f>SUM(R11:R21)</f>
        <v>22454</v>
      </c>
      <c r="S22" s="47"/>
      <c r="T22" s="37">
        <f>SUM(T11:T21)</f>
        <v>0</v>
      </c>
      <c r="U22" s="37">
        <f>SUM(U11:U21)</f>
        <v>-101</v>
      </c>
      <c r="V22" s="37">
        <f>SUM(V11:V21)</f>
        <v>644</v>
      </c>
      <c r="W22" s="37">
        <f>SUM(W11:W21)</f>
        <v>22997</v>
      </c>
    </row>
    <row r="23" spans="1:23" ht="24.75" customHeight="1">
      <c r="A23" s="18" t="s">
        <v>106</v>
      </c>
      <c r="B23" s="28"/>
      <c r="C23" s="29"/>
      <c r="D23" s="28"/>
      <c r="E23" s="28"/>
      <c r="F23" s="28">
        <v>-58</v>
      </c>
      <c r="G23" s="28"/>
      <c r="H23" s="28">
        <f>SUM(B23:G23)</f>
        <v>-58</v>
      </c>
      <c r="I23" s="29"/>
      <c r="J23" s="28"/>
      <c r="K23" s="28">
        <v>-859</v>
      </c>
      <c r="L23" s="28"/>
      <c r="M23" s="31">
        <f t="shared" si="1"/>
        <v>-917</v>
      </c>
      <c r="N23" s="29"/>
      <c r="O23" s="30"/>
      <c r="P23" s="28">
        <f>-682-177</f>
        <v>-859</v>
      </c>
      <c r="Q23" s="28"/>
      <c r="R23" s="28">
        <f t="shared" si="2"/>
        <v>-1776</v>
      </c>
      <c r="S23" s="29"/>
      <c r="T23" s="28"/>
      <c r="U23" s="28"/>
      <c r="V23" s="28"/>
      <c r="W23" s="28">
        <f>SUM(R23:V23)</f>
        <v>-1776</v>
      </c>
    </row>
    <row r="24" spans="1:23" s="19" customFormat="1" ht="24.75" customHeight="1">
      <c r="A24" s="35"/>
      <c r="B24" s="33"/>
      <c r="C24" s="34"/>
      <c r="D24" s="33"/>
      <c r="E24" s="33"/>
      <c r="F24" s="33"/>
      <c r="G24" s="33"/>
      <c r="H24" s="28"/>
      <c r="I24" s="34"/>
      <c r="J24" s="33"/>
      <c r="K24" s="33"/>
      <c r="L24" s="33"/>
      <c r="M24" s="31"/>
      <c r="N24" s="33"/>
      <c r="O24" s="33"/>
      <c r="P24" s="33"/>
      <c r="Q24" s="33"/>
      <c r="R24" s="28"/>
      <c r="S24" s="33"/>
      <c r="T24" s="33"/>
      <c r="U24" s="33"/>
      <c r="V24" s="33"/>
      <c r="W24" s="28"/>
    </row>
    <row r="25" spans="1:23" s="39" customFormat="1" ht="34.5" customHeight="1">
      <c r="A25" s="38" t="s">
        <v>46</v>
      </c>
      <c r="B25" s="37">
        <f aca="true" t="shared" si="4" ref="B25:G25">SUM(B22:B24)</f>
        <v>21937</v>
      </c>
      <c r="C25" s="37">
        <f t="shared" si="4"/>
        <v>0</v>
      </c>
      <c r="D25" s="37">
        <f t="shared" si="4"/>
        <v>-794</v>
      </c>
      <c r="E25" s="37">
        <f t="shared" si="4"/>
        <v>0</v>
      </c>
      <c r="F25" s="37">
        <f t="shared" si="4"/>
        <v>-836</v>
      </c>
      <c r="G25" s="37">
        <f t="shared" si="4"/>
        <v>558</v>
      </c>
      <c r="H25" s="37">
        <f>SUM(B25:G25)</f>
        <v>20865</v>
      </c>
      <c r="I25" s="44"/>
      <c r="J25" s="37">
        <f>SUM(J22:J24)</f>
        <v>226</v>
      </c>
      <c r="K25" s="37">
        <f>SUM(K22:K24)</f>
        <v>-859</v>
      </c>
      <c r="L25" s="37">
        <f>SUM(L22:L24)</f>
        <v>564</v>
      </c>
      <c r="M25" s="45">
        <f t="shared" si="1"/>
        <v>20796</v>
      </c>
      <c r="N25" s="37"/>
      <c r="O25" s="37">
        <f>SUM(O22:O24)</f>
        <v>239</v>
      </c>
      <c r="P25" s="37">
        <f>SUM(P22:P24)</f>
        <v>-859</v>
      </c>
      <c r="Q25" s="37">
        <f>SUM(Q22:Q24)</f>
        <v>502</v>
      </c>
      <c r="R25" s="37">
        <f t="shared" si="2"/>
        <v>20678</v>
      </c>
      <c r="S25" s="37"/>
      <c r="T25" s="37">
        <f>SUM(T22:T24)</f>
        <v>0</v>
      </c>
      <c r="U25" s="37">
        <f>SUM(U22:U24)</f>
        <v>-101</v>
      </c>
      <c r="V25" s="37">
        <f>SUM(V22:V24)</f>
        <v>644</v>
      </c>
      <c r="W25" s="37">
        <f>SUM(R25:V25)</f>
        <v>21221</v>
      </c>
    </row>
    <row r="26" spans="1:23" s="39" customFormat="1" ht="14.25" customHeight="1">
      <c r="A26" s="53"/>
      <c r="B26" s="54"/>
      <c r="C26" s="54"/>
      <c r="D26" s="54"/>
      <c r="E26" s="54"/>
      <c r="F26" s="54"/>
      <c r="G26" s="54"/>
      <c r="H26" s="54"/>
      <c r="I26" s="55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s="39" customFormat="1" ht="14.25" customHeight="1">
      <c r="A27" s="56" t="s">
        <v>107</v>
      </c>
      <c r="B27" s="54"/>
      <c r="C27" s="54"/>
      <c r="D27" s="54"/>
      <c r="E27" s="54"/>
      <c r="F27" s="58">
        <v>-80</v>
      </c>
      <c r="G27" s="54"/>
      <c r="H27" s="5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s="39" customFormat="1" ht="14.25" customHeight="1">
      <c r="A28" s="53"/>
      <c r="B28" s="54"/>
      <c r="C28" s="54"/>
      <c r="D28" s="54"/>
      <c r="E28" s="54"/>
      <c r="F28" s="54"/>
      <c r="G28" s="54"/>
      <c r="H28" s="54"/>
      <c r="I28" s="55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18" s="12" customFormat="1" ht="12.75" customHeight="1">
      <c r="A29" s="13" t="s">
        <v>115</v>
      </c>
      <c r="B29" s="14"/>
      <c r="C29" s="14"/>
      <c r="D29" s="14"/>
      <c r="E29" s="15"/>
      <c r="F29" s="54">
        <f>SUM(F25:F28)</f>
        <v>-916</v>
      </c>
      <c r="G29" s="15"/>
      <c r="H29" s="16"/>
      <c r="I29" s="14"/>
      <c r="J29" s="15"/>
      <c r="K29" s="15"/>
      <c r="L29" s="15"/>
      <c r="M29" s="15"/>
      <c r="N29" s="15"/>
      <c r="O29" s="14"/>
      <c r="P29" s="14"/>
      <c r="Q29" s="14"/>
      <c r="R29" s="14"/>
    </row>
    <row r="30" spans="1:18" s="12" customFormat="1" ht="12.75" customHeight="1">
      <c r="A30" s="13"/>
      <c r="B30" s="14"/>
      <c r="C30" s="14"/>
      <c r="D30" s="14"/>
      <c r="E30" s="15"/>
      <c r="F30" s="54"/>
      <c r="G30" s="15"/>
      <c r="H30" s="16"/>
      <c r="I30" s="14"/>
      <c r="J30" s="15"/>
      <c r="K30" s="15"/>
      <c r="L30" s="15"/>
      <c r="M30" s="15"/>
      <c r="N30" s="15"/>
      <c r="O30" s="14"/>
      <c r="P30" s="14"/>
      <c r="Q30" s="14"/>
      <c r="R30" s="14"/>
    </row>
    <row r="31" ht="13.5" customHeight="1">
      <c r="A31" s="17" t="s">
        <v>2</v>
      </c>
    </row>
    <row r="32" ht="12.75">
      <c r="A32" s="17" t="s">
        <v>25</v>
      </c>
    </row>
    <row r="33" ht="12.75">
      <c r="A33" s="17" t="s">
        <v>26</v>
      </c>
    </row>
    <row r="34" ht="12.75">
      <c r="A34" s="17" t="s">
        <v>27</v>
      </c>
    </row>
    <row r="35" ht="12.75">
      <c r="A35" s="17" t="s">
        <v>28</v>
      </c>
    </row>
    <row r="36" ht="12.75">
      <c r="A36" s="17" t="s">
        <v>29</v>
      </c>
    </row>
  </sheetData>
  <mergeCells count="4">
    <mergeCell ref="A2:W2"/>
    <mergeCell ref="D4:H4"/>
    <mergeCell ref="J4:M4"/>
    <mergeCell ref="O4:R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2"/>
  <headerFooter alignWithMargins="0">
    <oddHeader>&amp;R&amp;"Arial,Bold"Appendix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workbookViewId="0" topLeftCell="A1">
      <selection activeCell="A2" sqref="A2:W2"/>
    </sheetView>
  </sheetViews>
  <sheetFormatPr defaultColWidth="9.140625" defaultRowHeight="12.75"/>
  <cols>
    <col min="1" max="1" width="38.2812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112</v>
      </c>
      <c r="V1" s="1"/>
    </row>
    <row r="2" spans="1:23" ht="1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23" s="10" customFormat="1" ht="24.75" customHeight="1">
      <c r="A4" s="3"/>
      <c r="B4" s="4" t="s">
        <v>3</v>
      </c>
      <c r="C4" s="5"/>
      <c r="D4" s="60" t="s">
        <v>0</v>
      </c>
      <c r="E4" s="61"/>
      <c r="F4" s="61"/>
      <c r="G4" s="61"/>
      <c r="H4" s="62"/>
      <c r="I4" s="8"/>
      <c r="J4" s="63" t="s">
        <v>1</v>
      </c>
      <c r="K4" s="64"/>
      <c r="L4" s="64"/>
      <c r="M4" s="65"/>
      <c r="N4" s="9"/>
      <c r="O4" s="63" t="s">
        <v>4</v>
      </c>
      <c r="P4" s="64"/>
      <c r="Q4" s="64"/>
      <c r="R4" s="65"/>
      <c r="S4" s="9"/>
      <c r="T4" s="6" t="s">
        <v>5</v>
      </c>
      <c r="U4" s="6"/>
      <c r="V4" s="6"/>
      <c r="W4" s="7"/>
    </row>
    <row r="5" spans="1:23" s="26" customFormat="1" ht="90.75" customHeight="1">
      <c r="A5" s="11" t="s">
        <v>6</v>
      </c>
      <c r="B5" s="20" t="s">
        <v>12</v>
      </c>
      <c r="C5" s="21"/>
      <c r="D5" s="22" t="s">
        <v>13</v>
      </c>
      <c r="E5" s="22" t="s">
        <v>7</v>
      </c>
      <c r="F5" s="22" t="s">
        <v>14</v>
      </c>
      <c r="G5" s="22" t="s">
        <v>8</v>
      </c>
      <c r="H5" s="20" t="s">
        <v>15</v>
      </c>
      <c r="I5" s="23"/>
      <c r="J5" s="22" t="s">
        <v>16</v>
      </c>
      <c r="K5" s="22" t="s">
        <v>17</v>
      </c>
      <c r="L5" s="22" t="s">
        <v>9</v>
      </c>
      <c r="M5" s="24" t="s">
        <v>20</v>
      </c>
      <c r="N5" s="25"/>
      <c r="O5" s="22" t="s">
        <v>18</v>
      </c>
      <c r="P5" s="22" t="s">
        <v>19</v>
      </c>
      <c r="Q5" s="22" t="s">
        <v>10</v>
      </c>
      <c r="R5" s="20" t="s">
        <v>21</v>
      </c>
      <c r="S5" s="25"/>
      <c r="T5" s="22" t="s">
        <v>22</v>
      </c>
      <c r="U5" s="22" t="s">
        <v>23</v>
      </c>
      <c r="V5" s="22" t="s">
        <v>11</v>
      </c>
      <c r="W5" s="20" t="s">
        <v>24</v>
      </c>
    </row>
    <row r="6" spans="1:23" s="17" customFormat="1" ht="24.7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24.75" customHeight="1">
      <c r="A7" s="42" t="s">
        <v>30</v>
      </c>
      <c r="B7" s="28">
        <v>3090</v>
      </c>
      <c r="C7" s="29"/>
      <c r="D7" s="29">
        <v>13</v>
      </c>
      <c r="E7" s="28"/>
      <c r="F7" s="28">
        <v>-52</v>
      </c>
      <c r="G7" s="28">
        <v>79</v>
      </c>
      <c r="H7" s="28">
        <f aca="true" t="shared" si="0" ref="H7:H12">SUM(B7:G7)</f>
        <v>3130</v>
      </c>
      <c r="I7" s="29"/>
      <c r="J7" s="30">
        <v>16</v>
      </c>
      <c r="K7" s="28"/>
      <c r="L7" s="28">
        <v>80</v>
      </c>
      <c r="M7" s="31">
        <f aca="true" t="shared" si="1" ref="M7:M12">SUM(H7:L7)</f>
        <v>3226</v>
      </c>
      <c r="N7" s="29"/>
      <c r="O7" s="30">
        <v>17</v>
      </c>
      <c r="P7" s="28"/>
      <c r="Q7" s="28">
        <v>85</v>
      </c>
      <c r="R7" s="28">
        <f aca="true" t="shared" si="2" ref="R7:R12">SUM(M7:Q7)</f>
        <v>3328</v>
      </c>
      <c r="S7" s="29"/>
      <c r="T7" s="30">
        <f aca="true" t="shared" si="3" ref="T7:T12">O7</f>
        <v>17</v>
      </c>
      <c r="U7" s="28"/>
      <c r="V7" s="28">
        <f aca="true" t="shared" si="4" ref="V7:V12">Q7</f>
        <v>85</v>
      </c>
      <c r="W7" s="28">
        <f aca="true" t="shared" si="5" ref="W7:W12">SUM(R7:V7)</f>
        <v>3430</v>
      </c>
    </row>
    <row r="8" spans="1:23" ht="24.75" customHeight="1">
      <c r="A8" s="42" t="s">
        <v>31</v>
      </c>
      <c r="B8" s="28">
        <v>995</v>
      </c>
      <c r="C8" s="29"/>
      <c r="D8" s="28">
        <v>4</v>
      </c>
      <c r="E8" s="28"/>
      <c r="F8" s="28"/>
      <c r="G8" s="28">
        <v>25</v>
      </c>
      <c r="H8" s="28">
        <f t="shared" si="0"/>
        <v>1024</v>
      </c>
      <c r="I8" s="29"/>
      <c r="J8" s="30">
        <v>4</v>
      </c>
      <c r="K8" s="28"/>
      <c r="L8" s="28">
        <v>26</v>
      </c>
      <c r="M8" s="31">
        <f t="shared" si="1"/>
        <v>1054</v>
      </c>
      <c r="N8" s="29"/>
      <c r="O8" s="30">
        <v>4</v>
      </c>
      <c r="P8" s="28"/>
      <c r="Q8" s="28">
        <v>28</v>
      </c>
      <c r="R8" s="28">
        <f t="shared" si="2"/>
        <v>1086</v>
      </c>
      <c r="S8" s="29"/>
      <c r="T8" s="30">
        <v>4</v>
      </c>
      <c r="U8" s="28"/>
      <c r="V8" s="28">
        <f t="shared" si="4"/>
        <v>28</v>
      </c>
      <c r="W8" s="28">
        <f t="shared" si="5"/>
        <v>1118</v>
      </c>
    </row>
    <row r="9" spans="1:23" ht="24.75" customHeight="1">
      <c r="A9" s="42" t="s">
        <v>108</v>
      </c>
      <c r="B9" s="28">
        <v>1006</v>
      </c>
      <c r="C9" s="29"/>
      <c r="D9" s="28">
        <v>4</v>
      </c>
      <c r="E9" s="28"/>
      <c r="F9" s="28"/>
      <c r="G9" s="28">
        <v>25</v>
      </c>
      <c r="H9" s="28">
        <f t="shared" si="0"/>
        <v>1035</v>
      </c>
      <c r="I9" s="29"/>
      <c r="J9" s="30">
        <v>4</v>
      </c>
      <c r="K9" s="28"/>
      <c r="L9" s="28">
        <v>27</v>
      </c>
      <c r="M9" s="31">
        <f t="shared" si="1"/>
        <v>1066</v>
      </c>
      <c r="N9" s="29"/>
      <c r="O9" s="30">
        <v>4</v>
      </c>
      <c r="P9" s="28"/>
      <c r="Q9" s="28">
        <v>28</v>
      </c>
      <c r="R9" s="28">
        <f t="shared" si="2"/>
        <v>1098</v>
      </c>
      <c r="S9" s="29"/>
      <c r="T9" s="30">
        <f t="shared" si="3"/>
        <v>4</v>
      </c>
      <c r="U9" s="28"/>
      <c r="V9" s="28">
        <f t="shared" si="4"/>
        <v>28</v>
      </c>
      <c r="W9" s="28">
        <f t="shared" si="5"/>
        <v>1130</v>
      </c>
    </row>
    <row r="10" spans="1:23" ht="24.75" customHeight="1">
      <c r="A10" s="42" t="s">
        <v>109</v>
      </c>
      <c r="B10" s="28">
        <v>1834</v>
      </c>
      <c r="C10" s="29"/>
      <c r="D10" s="28">
        <v>8</v>
      </c>
      <c r="E10" s="28"/>
      <c r="F10" s="28"/>
      <c r="G10" s="28">
        <v>46</v>
      </c>
      <c r="H10" s="28">
        <f t="shared" si="0"/>
        <v>1888</v>
      </c>
      <c r="I10" s="29"/>
      <c r="J10" s="30">
        <v>8</v>
      </c>
      <c r="K10" s="28"/>
      <c r="L10" s="28">
        <v>49</v>
      </c>
      <c r="M10" s="31">
        <f t="shared" si="1"/>
        <v>1945</v>
      </c>
      <c r="N10" s="29"/>
      <c r="O10" s="30">
        <v>8</v>
      </c>
      <c r="P10" s="28"/>
      <c r="Q10" s="28">
        <v>51</v>
      </c>
      <c r="R10" s="28">
        <f t="shared" si="2"/>
        <v>2004</v>
      </c>
      <c r="S10" s="29"/>
      <c r="T10" s="30">
        <f t="shared" si="3"/>
        <v>8</v>
      </c>
      <c r="U10" s="28"/>
      <c r="V10" s="28">
        <v>49</v>
      </c>
      <c r="W10" s="28">
        <f t="shared" si="5"/>
        <v>2061</v>
      </c>
    </row>
    <row r="11" spans="1:23" ht="24.75" customHeight="1">
      <c r="A11" s="42" t="s">
        <v>32</v>
      </c>
      <c r="B11" s="28">
        <v>5072</v>
      </c>
      <c r="C11" s="29"/>
      <c r="D11" s="28">
        <v>8</v>
      </c>
      <c r="E11" s="28"/>
      <c r="F11" s="28">
        <v>-218</v>
      </c>
      <c r="G11" s="28">
        <v>126</v>
      </c>
      <c r="H11" s="28">
        <f t="shared" si="0"/>
        <v>4988</v>
      </c>
      <c r="I11" s="29"/>
      <c r="J11" s="30">
        <v>8</v>
      </c>
      <c r="K11" s="28"/>
      <c r="L11" s="28">
        <v>129</v>
      </c>
      <c r="M11" s="31">
        <f t="shared" si="1"/>
        <v>5125</v>
      </c>
      <c r="N11" s="29"/>
      <c r="O11" s="30">
        <v>8</v>
      </c>
      <c r="P11" s="28"/>
      <c r="Q11" s="28">
        <v>134</v>
      </c>
      <c r="R11" s="28">
        <f t="shared" si="2"/>
        <v>5267</v>
      </c>
      <c r="S11" s="29"/>
      <c r="T11" s="30">
        <f t="shared" si="3"/>
        <v>8</v>
      </c>
      <c r="U11" s="28"/>
      <c r="V11" s="28">
        <f t="shared" si="4"/>
        <v>134</v>
      </c>
      <c r="W11" s="28">
        <f t="shared" si="5"/>
        <v>5409</v>
      </c>
    </row>
    <row r="12" spans="1:23" ht="24.75" customHeight="1">
      <c r="A12" s="42" t="s">
        <v>33</v>
      </c>
      <c r="B12" s="28">
        <v>2437</v>
      </c>
      <c r="C12" s="29"/>
      <c r="D12" s="28">
        <v>10</v>
      </c>
      <c r="E12" s="28"/>
      <c r="F12" s="28">
        <v>-25</v>
      </c>
      <c r="G12" s="28">
        <v>61</v>
      </c>
      <c r="H12" s="28">
        <f t="shared" si="0"/>
        <v>2483</v>
      </c>
      <c r="I12" s="29"/>
      <c r="J12" s="30">
        <v>12</v>
      </c>
      <c r="K12" s="28"/>
      <c r="L12" s="28">
        <v>64</v>
      </c>
      <c r="M12" s="31">
        <f t="shared" si="1"/>
        <v>2559</v>
      </c>
      <c r="N12" s="29"/>
      <c r="O12" s="30">
        <v>14</v>
      </c>
      <c r="P12" s="28"/>
      <c r="Q12" s="28">
        <v>67</v>
      </c>
      <c r="R12" s="28">
        <f t="shared" si="2"/>
        <v>2640</v>
      </c>
      <c r="S12" s="29"/>
      <c r="T12" s="30">
        <f t="shared" si="3"/>
        <v>14</v>
      </c>
      <c r="U12" s="28"/>
      <c r="V12" s="28">
        <f t="shared" si="4"/>
        <v>67</v>
      </c>
      <c r="W12" s="28">
        <f t="shared" si="5"/>
        <v>2721</v>
      </c>
    </row>
    <row r="13" spans="1:23" ht="24.75" customHeight="1">
      <c r="A13" s="42" t="s">
        <v>110</v>
      </c>
      <c r="B13" s="28">
        <v>27637</v>
      </c>
      <c r="C13" s="29"/>
      <c r="D13" s="28">
        <v>56</v>
      </c>
      <c r="E13" s="28"/>
      <c r="F13" s="28">
        <v>-562</v>
      </c>
      <c r="G13" s="28">
        <v>688</v>
      </c>
      <c r="H13" s="28">
        <f>SUM(B13:G13)</f>
        <v>27819</v>
      </c>
      <c r="I13" s="29"/>
      <c r="J13" s="30">
        <v>58</v>
      </c>
      <c r="K13" s="28"/>
      <c r="L13" s="28">
        <v>722</v>
      </c>
      <c r="M13" s="31">
        <f>SUM(H13:L13)</f>
        <v>28599</v>
      </c>
      <c r="N13" s="29"/>
      <c r="O13" s="30">
        <v>60</v>
      </c>
      <c r="P13" s="28"/>
      <c r="Q13" s="28">
        <v>747</v>
      </c>
      <c r="R13" s="28">
        <f>SUM(M13:Q13)</f>
        <v>29406</v>
      </c>
      <c r="S13" s="29"/>
      <c r="T13" s="30">
        <f>O13</f>
        <v>60</v>
      </c>
      <c r="U13" s="28"/>
      <c r="V13" s="28">
        <v>747</v>
      </c>
      <c r="W13" s="28">
        <f>SUM(R13:V13)</f>
        <v>30213</v>
      </c>
    </row>
    <row r="14" spans="1:23" ht="24.75" customHeight="1">
      <c r="A14" s="41"/>
      <c r="B14" s="28"/>
      <c r="C14" s="29"/>
      <c r="D14" s="28"/>
      <c r="E14" s="28"/>
      <c r="F14" s="28"/>
      <c r="G14" s="32"/>
      <c r="H14" s="28"/>
      <c r="I14" s="29"/>
      <c r="J14" s="30"/>
      <c r="K14" s="28"/>
      <c r="L14" s="28"/>
      <c r="M14" s="31"/>
      <c r="N14" s="29"/>
      <c r="O14" s="30"/>
      <c r="P14" s="28"/>
      <c r="Q14" s="28"/>
      <c r="R14" s="28"/>
      <c r="S14" s="29"/>
      <c r="T14" s="30"/>
      <c r="U14" s="28"/>
      <c r="V14" s="28"/>
      <c r="W14" s="28"/>
    </row>
    <row r="15" spans="1:23" s="17" customFormat="1" ht="24.75" customHeight="1">
      <c r="A15" s="57" t="s">
        <v>34</v>
      </c>
      <c r="B15" s="37">
        <f>SUM(B7:B14)</f>
        <v>42071</v>
      </c>
      <c r="C15" s="47"/>
      <c r="D15" s="37">
        <f>SUM(D7:D14)</f>
        <v>103</v>
      </c>
      <c r="E15" s="37">
        <f>SUM(E7:E14)</f>
        <v>0</v>
      </c>
      <c r="F15" s="37">
        <f>SUM(F7:F14)</f>
        <v>-857</v>
      </c>
      <c r="G15" s="37">
        <f>SUM(G7:G14)</f>
        <v>1050</v>
      </c>
      <c r="H15" s="37">
        <f>SUM(H7:H14)</f>
        <v>42367</v>
      </c>
      <c r="I15" s="47"/>
      <c r="J15" s="37">
        <f>SUM(J7:J14)</f>
        <v>110</v>
      </c>
      <c r="K15" s="37">
        <f>SUM(K7:K14)</f>
        <v>0</v>
      </c>
      <c r="L15" s="37">
        <f>SUM(L7:L14)</f>
        <v>1097</v>
      </c>
      <c r="M15" s="37">
        <f>SUM(M7:M14)</f>
        <v>43574</v>
      </c>
      <c r="N15" s="47"/>
      <c r="O15" s="37">
        <f>SUM(O7:O14)</f>
        <v>115</v>
      </c>
      <c r="P15" s="37">
        <f>SUM(P7:P14)</f>
        <v>0</v>
      </c>
      <c r="Q15" s="37">
        <f>SUM(Q7:Q14)</f>
        <v>1140</v>
      </c>
      <c r="R15" s="37">
        <f>SUM(R7:R14)</f>
        <v>44829</v>
      </c>
      <c r="S15" s="47"/>
      <c r="T15" s="37">
        <f>SUM(T7:T14)</f>
        <v>115</v>
      </c>
      <c r="U15" s="37">
        <f>SUM(U7:U14)</f>
        <v>0</v>
      </c>
      <c r="V15" s="37">
        <f>SUM(V7:V14)</f>
        <v>1138</v>
      </c>
      <c r="W15" s="37">
        <f>SUM(W7:W14)</f>
        <v>46082</v>
      </c>
    </row>
    <row r="16" spans="1:23" ht="24.75" customHeight="1">
      <c r="A16" s="42"/>
      <c r="B16" s="30"/>
      <c r="C16" s="29"/>
      <c r="D16" s="28"/>
      <c r="E16" s="28"/>
      <c r="F16" s="28"/>
      <c r="G16" s="32"/>
      <c r="H16" s="28"/>
      <c r="I16" s="29"/>
      <c r="J16" s="30"/>
      <c r="K16" s="28"/>
      <c r="L16" s="28"/>
      <c r="M16" s="31"/>
      <c r="N16" s="29"/>
      <c r="O16" s="30"/>
      <c r="P16" s="28"/>
      <c r="Q16" s="28"/>
      <c r="R16" s="28"/>
      <c r="S16" s="29"/>
      <c r="T16" s="30"/>
      <c r="U16" s="28"/>
      <c r="V16" s="28"/>
      <c r="W16" s="28"/>
    </row>
    <row r="17" spans="1:23" ht="24.75" customHeight="1">
      <c r="A17" s="27" t="s">
        <v>36</v>
      </c>
      <c r="B17" s="28">
        <v>0</v>
      </c>
      <c r="C17" s="29"/>
      <c r="D17" s="28"/>
      <c r="E17" s="28"/>
      <c r="F17" s="28"/>
      <c r="G17" s="28"/>
      <c r="H17" s="28">
        <f>SUM(B17:G17)</f>
        <v>0</v>
      </c>
      <c r="I17" s="29"/>
      <c r="J17" s="30"/>
      <c r="K17" s="28">
        <v>-866</v>
      </c>
      <c r="L17" s="28"/>
      <c r="M17" s="31">
        <f>SUM(H17:L17)</f>
        <v>-866</v>
      </c>
      <c r="N17" s="29"/>
      <c r="O17" s="30"/>
      <c r="P17" s="28">
        <v>-866</v>
      </c>
      <c r="Q17" s="28">
        <v>-20</v>
      </c>
      <c r="R17" s="28">
        <f>SUM(M17:Q17)</f>
        <v>-1752</v>
      </c>
      <c r="S17" s="29"/>
      <c r="T17" s="30"/>
      <c r="U17" s="28"/>
      <c r="V17" s="28"/>
      <c r="W17" s="28">
        <f>SUM(R17:V17)</f>
        <v>-1752</v>
      </c>
    </row>
    <row r="18" spans="1:23" ht="24.75" customHeight="1">
      <c r="A18" s="27"/>
      <c r="B18" s="28"/>
      <c r="C18" s="29"/>
      <c r="D18" s="28"/>
      <c r="E18" s="28"/>
      <c r="F18" s="28"/>
      <c r="G18" s="28"/>
      <c r="H18" s="28"/>
      <c r="I18" s="29"/>
      <c r="J18" s="30"/>
      <c r="K18" s="28"/>
      <c r="L18" s="28"/>
      <c r="M18" s="31"/>
      <c r="N18" s="29"/>
      <c r="O18" s="30"/>
      <c r="P18" s="28"/>
      <c r="Q18" s="28"/>
      <c r="R18" s="28"/>
      <c r="S18" s="29"/>
      <c r="T18" s="30"/>
      <c r="U18" s="28"/>
      <c r="V18" s="28"/>
      <c r="W18" s="28"/>
    </row>
    <row r="19" spans="1:23" s="17" customFormat="1" ht="24.75" customHeight="1">
      <c r="A19" s="36" t="s">
        <v>35</v>
      </c>
      <c r="B19" s="37">
        <f>+B17+B15</f>
        <v>42071</v>
      </c>
      <c r="C19" s="37" t="e">
        <f>#REF!+C17</f>
        <v>#REF!</v>
      </c>
      <c r="D19" s="37">
        <f>+D17+D15</f>
        <v>103</v>
      </c>
      <c r="E19" s="37">
        <f>+E17+E15</f>
        <v>0</v>
      </c>
      <c r="F19" s="37">
        <f>+F17+F15</f>
        <v>-857</v>
      </c>
      <c r="G19" s="37">
        <f>+G17+G15</f>
        <v>1050</v>
      </c>
      <c r="H19" s="37">
        <f>+H17+H15</f>
        <v>42367</v>
      </c>
      <c r="I19" s="37" t="e">
        <f>#REF!+I17</f>
        <v>#REF!</v>
      </c>
      <c r="J19" s="37">
        <f>+J17+J15</f>
        <v>110</v>
      </c>
      <c r="K19" s="37">
        <f>+K17+K15</f>
        <v>-866</v>
      </c>
      <c r="L19" s="37">
        <f>+L17+L15</f>
        <v>1097</v>
      </c>
      <c r="M19" s="37">
        <f>+M17+M15</f>
        <v>42708</v>
      </c>
      <c r="N19" s="37" t="e">
        <f>#REF!+N17</f>
        <v>#REF!</v>
      </c>
      <c r="O19" s="37">
        <f>+O17+O15</f>
        <v>115</v>
      </c>
      <c r="P19" s="37">
        <f>+P17+P15</f>
        <v>-866</v>
      </c>
      <c r="Q19" s="37">
        <f>+Q17+Q15</f>
        <v>1120</v>
      </c>
      <c r="R19" s="37">
        <f>+R17+R15</f>
        <v>43077</v>
      </c>
      <c r="S19" s="37" t="e">
        <f>#REF!+S17</f>
        <v>#REF!</v>
      </c>
      <c r="T19" s="37">
        <f>+T17+T15</f>
        <v>115</v>
      </c>
      <c r="U19" s="37">
        <f>+U17+U15</f>
        <v>0</v>
      </c>
      <c r="V19" s="37">
        <f>+V17+V15</f>
        <v>1138</v>
      </c>
      <c r="W19" s="37">
        <f>+W17+W15</f>
        <v>44330</v>
      </c>
    </row>
    <row r="20" spans="1:23" ht="24.75" customHeight="1">
      <c r="A20" s="27"/>
      <c r="B20" s="28"/>
      <c r="C20" s="29"/>
      <c r="D20" s="28"/>
      <c r="E20" s="28"/>
      <c r="F20" s="28"/>
      <c r="G20" s="28"/>
      <c r="H20" s="28"/>
      <c r="I20" s="29"/>
      <c r="J20" s="30"/>
      <c r="K20" s="28"/>
      <c r="L20" s="28"/>
      <c r="M20" s="31"/>
      <c r="N20" s="29"/>
      <c r="O20" s="30"/>
      <c r="P20" s="28"/>
      <c r="Q20" s="28"/>
      <c r="R20" s="28"/>
      <c r="S20" s="29"/>
      <c r="T20" s="30"/>
      <c r="U20" s="28"/>
      <c r="V20" s="28"/>
      <c r="W20" s="28"/>
    </row>
    <row r="21" spans="1:18" s="12" customFormat="1" ht="12.75" customHeight="1">
      <c r="A21" s="13"/>
      <c r="B21" s="14"/>
      <c r="C21" s="14"/>
      <c r="D21" s="14"/>
      <c r="E21" s="15"/>
      <c r="F21" s="15"/>
      <c r="G21" s="15"/>
      <c r="H21" s="16"/>
      <c r="I21" s="14"/>
      <c r="J21" s="15"/>
      <c r="K21" s="15"/>
      <c r="L21" s="15"/>
      <c r="M21" s="15"/>
      <c r="N21" s="15"/>
      <c r="O21" s="14"/>
      <c r="P21" s="14"/>
      <c r="Q21" s="14"/>
      <c r="R21" s="14"/>
    </row>
    <row r="22" ht="13.5" customHeight="1">
      <c r="A22" s="17" t="s">
        <v>2</v>
      </c>
    </row>
    <row r="23" ht="12.75">
      <c r="A23" s="17" t="s">
        <v>25</v>
      </c>
    </row>
    <row r="24" ht="12.75">
      <c r="A24" s="17" t="s">
        <v>26</v>
      </c>
    </row>
    <row r="25" ht="12.75">
      <c r="A25" s="17" t="s">
        <v>27</v>
      </c>
    </row>
    <row r="26" ht="12.75">
      <c r="A26" s="17" t="s">
        <v>28</v>
      </c>
    </row>
    <row r="27" ht="12.75">
      <c r="A27" s="17" t="s">
        <v>29</v>
      </c>
    </row>
  </sheetData>
  <mergeCells count="4">
    <mergeCell ref="A2:W2"/>
    <mergeCell ref="J4:M4"/>
    <mergeCell ref="O4:R4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3" r:id="rId2"/>
  <headerFooter alignWithMargins="0">
    <oddHeader>&amp;R&amp;"Arial,Bold"Appendix 1</oddHeader>
    <oddFooter>&amp;R&amp;9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A2" sqref="A2:W2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113</v>
      </c>
      <c r="V1" s="1"/>
    </row>
    <row r="2" spans="1:23" ht="1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23" s="10" customFormat="1" ht="24.75" customHeight="1">
      <c r="A4" s="3"/>
      <c r="B4" s="4" t="s">
        <v>3</v>
      </c>
      <c r="C4" s="5"/>
      <c r="D4" s="60" t="s">
        <v>0</v>
      </c>
      <c r="E4" s="61"/>
      <c r="F4" s="61"/>
      <c r="G4" s="61"/>
      <c r="H4" s="62"/>
      <c r="I4" s="8"/>
      <c r="J4" s="63" t="s">
        <v>1</v>
      </c>
      <c r="K4" s="64"/>
      <c r="L4" s="64"/>
      <c r="M4" s="65"/>
      <c r="N4" s="9"/>
      <c r="O4" s="63" t="s">
        <v>4</v>
      </c>
      <c r="P4" s="64"/>
      <c r="Q4" s="64"/>
      <c r="R4" s="65"/>
      <c r="S4" s="9"/>
      <c r="T4" s="6" t="s">
        <v>5</v>
      </c>
      <c r="U4" s="6"/>
      <c r="V4" s="6"/>
      <c r="W4" s="7"/>
    </row>
    <row r="5" spans="1:23" s="26" customFormat="1" ht="90.75" customHeight="1">
      <c r="A5" s="11" t="s">
        <v>6</v>
      </c>
      <c r="B5" s="20" t="s">
        <v>12</v>
      </c>
      <c r="C5" s="21"/>
      <c r="D5" s="22" t="s">
        <v>13</v>
      </c>
      <c r="E5" s="22" t="s">
        <v>7</v>
      </c>
      <c r="F5" s="22" t="s">
        <v>14</v>
      </c>
      <c r="G5" s="22" t="s">
        <v>8</v>
      </c>
      <c r="H5" s="20" t="s">
        <v>15</v>
      </c>
      <c r="I5" s="23"/>
      <c r="J5" s="22" t="s">
        <v>16</v>
      </c>
      <c r="K5" s="22" t="s">
        <v>17</v>
      </c>
      <c r="L5" s="22" t="s">
        <v>9</v>
      </c>
      <c r="M5" s="24" t="s">
        <v>20</v>
      </c>
      <c r="N5" s="25"/>
      <c r="O5" s="22" t="s">
        <v>18</v>
      </c>
      <c r="P5" s="22" t="s">
        <v>19</v>
      </c>
      <c r="Q5" s="22" t="s">
        <v>10</v>
      </c>
      <c r="R5" s="20" t="s">
        <v>21</v>
      </c>
      <c r="S5" s="25"/>
      <c r="T5" s="22" t="s">
        <v>22</v>
      </c>
      <c r="U5" s="22" t="s">
        <v>23</v>
      </c>
      <c r="V5" s="22" t="s">
        <v>11</v>
      </c>
      <c r="W5" s="20" t="s">
        <v>24</v>
      </c>
    </row>
    <row r="6" spans="1:23" ht="24.75" customHeight="1">
      <c r="A6" s="43"/>
      <c r="B6" s="28"/>
      <c r="C6" s="29"/>
      <c r="D6" s="28"/>
      <c r="E6" s="28"/>
      <c r="F6" s="28"/>
      <c r="G6" s="28"/>
      <c r="H6" s="28"/>
      <c r="I6" s="29"/>
      <c r="J6" s="30"/>
      <c r="K6" s="28"/>
      <c r="L6" s="28"/>
      <c r="M6" s="31"/>
      <c r="N6" s="29"/>
      <c r="O6" s="30"/>
      <c r="P6" s="28"/>
      <c r="Q6" s="28"/>
      <c r="R6" s="28"/>
      <c r="S6" s="29"/>
      <c r="T6" s="30"/>
      <c r="U6" s="28"/>
      <c r="V6" s="28"/>
      <c r="W6" s="28"/>
    </row>
    <row r="7" spans="1:23" ht="24.75" customHeight="1">
      <c r="A7" s="52" t="s">
        <v>76</v>
      </c>
      <c r="B7" s="28">
        <v>363</v>
      </c>
      <c r="C7" s="29"/>
      <c r="D7" s="28">
        <f>19</f>
        <v>19</v>
      </c>
      <c r="E7" s="28">
        <v>0</v>
      </c>
      <c r="F7" s="28">
        <v>0</v>
      </c>
      <c r="G7" s="28">
        <f>49-19</f>
        <v>30</v>
      </c>
      <c r="H7" s="28">
        <f>SUM(B7:G7)</f>
        <v>412</v>
      </c>
      <c r="I7" s="29"/>
      <c r="J7" s="30">
        <f>20</f>
        <v>20</v>
      </c>
      <c r="K7" s="28">
        <v>0</v>
      </c>
      <c r="L7" s="28">
        <f>57-20</f>
        <v>37</v>
      </c>
      <c r="M7" s="31">
        <f>SUM(H7:L7)</f>
        <v>469</v>
      </c>
      <c r="N7" s="29"/>
      <c r="O7" s="30">
        <f>21</f>
        <v>21</v>
      </c>
      <c r="P7" s="28">
        <v>0</v>
      </c>
      <c r="Q7" s="28">
        <f>-21+60</f>
        <v>39</v>
      </c>
      <c r="R7" s="28">
        <f>SUM(M7:Q7)</f>
        <v>529</v>
      </c>
      <c r="S7" s="29"/>
      <c r="T7" s="30">
        <v>0</v>
      </c>
      <c r="U7" s="28">
        <v>0</v>
      </c>
      <c r="V7" s="28">
        <v>62</v>
      </c>
      <c r="W7" s="28">
        <f>SUM(R7:V7)</f>
        <v>591</v>
      </c>
    </row>
    <row r="8" spans="1:23" ht="24.75" customHeight="1">
      <c r="A8" s="52" t="s">
        <v>77</v>
      </c>
      <c r="B8" s="28">
        <v>381</v>
      </c>
      <c r="C8" s="29"/>
      <c r="D8" s="28">
        <f>8</f>
        <v>8</v>
      </c>
      <c r="E8" s="28">
        <v>0</v>
      </c>
      <c r="F8" s="28">
        <v>-100</v>
      </c>
      <c r="G8" s="28">
        <f>56-8</f>
        <v>48</v>
      </c>
      <c r="H8" s="28">
        <f>SUM(B8:G8)</f>
        <v>337</v>
      </c>
      <c r="I8" s="29"/>
      <c r="J8" s="30">
        <f>8</f>
        <v>8</v>
      </c>
      <c r="K8" s="28">
        <v>0</v>
      </c>
      <c r="L8" s="28">
        <f>-8+59</f>
        <v>51</v>
      </c>
      <c r="M8" s="31">
        <f>SUM(H8:L8)</f>
        <v>396</v>
      </c>
      <c r="N8" s="29"/>
      <c r="O8" s="30">
        <f>9</f>
        <v>9</v>
      </c>
      <c r="P8" s="28">
        <v>0</v>
      </c>
      <c r="Q8" s="28">
        <f>-9+60</f>
        <v>51</v>
      </c>
      <c r="R8" s="28">
        <f>SUM(M8:Q8)</f>
        <v>456</v>
      </c>
      <c r="S8" s="29"/>
      <c r="T8" s="30">
        <v>0</v>
      </c>
      <c r="U8" s="28">
        <v>0</v>
      </c>
      <c r="V8" s="28">
        <v>67</v>
      </c>
      <c r="W8" s="28">
        <f aca="true" t="shared" si="0" ref="W8:W24">SUM(R8:V8)</f>
        <v>523</v>
      </c>
    </row>
    <row r="9" spans="1:23" ht="24.75" customHeight="1">
      <c r="A9" s="52" t="s">
        <v>78</v>
      </c>
      <c r="B9" s="28">
        <v>1290</v>
      </c>
      <c r="C9" s="29"/>
      <c r="D9" s="28">
        <f>-149+19</f>
        <v>-130</v>
      </c>
      <c r="E9" s="28">
        <v>0</v>
      </c>
      <c r="F9" s="28">
        <v>-16</v>
      </c>
      <c r="G9" s="28">
        <f>92-19</f>
        <v>73</v>
      </c>
      <c r="H9" s="28">
        <f>SUM(B9:G9)</f>
        <v>1217</v>
      </c>
      <c r="I9" s="29"/>
      <c r="J9" s="30">
        <f>21</f>
        <v>21</v>
      </c>
      <c r="K9" s="28">
        <v>0</v>
      </c>
      <c r="L9" s="28">
        <f>-21+105</f>
        <v>84</v>
      </c>
      <c r="M9" s="31">
        <f>SUM(H9:L9)</f>
        <v>1322</v>
      </c>
      <c r="N9" s="29"/>
      <c r="O9" s="30">
        <f>21</f>
        <v>21</v>
      </c>
      <c r="P9" s="28">
        <v>0</v>
      </c>
      <c r="Q9" s="28">
        <f>-21+106</f>
        <v>85</v>
      </c>
      <c r="R9" s="28">
        <f>SUM(M9:Q9)</f>
        <v>1428</v>
      </c>
      <c r="S9" s="29"/>
      <c r="T9" s="30">
        <v>0</v>
      </c>
      <c r="U9" s="28">
        <v>0</v>
      </c>
      <c r="V9" s="28">
        <v>120</v>
      </c>
      <c r="W9" s="28">
        <f t="shared" si="0"/>
        <v>1548</v>
      </c>
    </row>
    <row r="10" spans="1:23" ht="24" customHeight="1">
      <c r="A10" s="52" t="s">
        <v>79</v>
      </c>
      <c r="B10" s="28">
        <v>3141</v>
      </c>
      <c r="C10" s="29"/>
      <c r="D10" s="28">
        <f>23</f>
        <v>23</v>
      </c>
      <c r="E10" s="28">
        <v>0</v>
      </c>
      <c r="F10" s="28">
        <v>-54</v>
      </c>
      <c r="G10" s="28">
        <f>93-23</f>
        <v>70</v>
      </c>
      <c r="H10" s="28">
        <f>SUM(B10:G10)</f>
        <v>3180</v>
      </c>
      <c r="I10" s="29"/>
      <c r="J10" s="30">
        <f>24</f>
        <v>24</v>
      </c>
      <c r="K10" s="28">
        <v>0</v>
      </c>
      <c r="L10" s="28">
        <f>-24+99</f>
        <v>75</v>
      </c>
      <c r="M10" s="31">
        <f>SUM(H10:L10)</f>
        <v>3279</v>
      </c>
      <c r="N10" s="29"/>
      <c r="O10" s="30">
        <f>26</f>
        <v>26</v>
      </c>
      <c r="P10" s="28">
        <v>0</v>
      </c>
      <c r="Q10" s="28">
        <f>-26+106</f>
        <v>80</v>
      </c>
      <c r="R10" s="28">
        <f>SUM(M10:Q10)</f>
        <v>3385</v>
      </c>
      <c r="S10" s="29"/>
      <c r="T10" s="30">
        <v>0</v>
      </c>
      <c r="U10" s="28">
        <v>0</v>
      </c>
      <c r="V10" s="28">
        <v>107</v>
      </c>
      <c r="W10" s="28">
        <f t="shared" si="0"/>
        <v>3492</v>
      </c>
    </row>
    <row r="11" spans="1:23" ht="24.75" customHeight="1">
      <c r="A11" s="52" t="s">
        <v>80</v>
      </c>
      <c r="B11" s="28">
        <v>845</v>
      </c>
      <c r="C11" s="29"/>
      <c r="D11" s="28">
        <f>10</f>
        <v>10</v>
      </c>
      <c r="E11" s="28">
        <v>0</v>
      </c>
      <c r="F11" s="28">
        <v>-26</v>
      </c>
      <c r="G11" s="28">
        <f>33-10</f>
        <v>23</v>
      </c>
      <c r="H11" s="28">
        <f aca="true" t="shared" si="1" ref="H11:H24">SUM(B11:G11)</f>
        <v>852</v>
      </c>
      <c r="I11" s="29"/>
      <c r="J11" s="30">
        <f>11</f>
        <v>11</v>
      </c>
      <c r="K11" s="28">
        <v>0</v>
      </c>
      <c r="L11" s="28">
        <f>-11+36</f>
        <v>25</v>
      </c>
      <c r="M11" s="31">
        <f aca="true" t="shared" si="2" ref="M11:M26">SUM(H11:L11)</f>
        <v>888</v>
      </c>
      <c r="N11" s="29"/>
      <c r="O11" s="30">
        <f>12</f>
        <v>12</v>
      </c>
      <c r="P11" s="28">
        <v>0</v>
      </c>
      <c r="Q11" s="28">
        <f>-12+38</f>
        <v>26</v>
      </c>
      <c r="R11" s="28">
        <f aca="true" t="shared" si="3" ref="R11:R26">SUM(M11:Q11)</f>
        <v>926</v>
      </c>
      <c r="S11" s="29"/>
      <c r="T11" s="30">
        <v>0</v>
      </c>
      <c r="U11" s="28">
        <v>0</v>
      </c>
      <c r="V11" s="28">
        <v>42</v>
      </c>
      <c r="W11" s="28">
        <f t="shared" si="0"/>
        <v>968</v>
      </c>
    </row>
    <row r="12" spans="1:23" ht="24.75" customHeight="1">
      <c r="A12" s="52" t="s">
        <v>81</v>
      </c>
      <c r="B12" s="28">
        <v>2963</v>
      </c>
      <c r="C12" s="29"/>
      <c r="D12" s="28">
        <f>-34+35</f>
        <v>1</v>
      </c>
      <c r="E12" s="28">
        <v>0</v>
      </c>
      <c r="F12" s="28">
        <v>-18</v>
      </c>
      <c r="G12" s="28">
        <f>106-35</f>
        <v>71</v>
      </c>
      <c r="H12" s="28">
        <f t="shared" si="1"/>
        <v>3017</v>
      </c>
      <c r="I12" s="29"/>
      <c r="J12" s="30">
        <f>37</f>
        <v>37</v>
      </c>
      <c r="K12" s="28">
        <v>0</v>
      </c>
      <c r="L12" s="28">
        <f>-37+113</f>
        <v>76</v>
      </c>
      <c r="M12" s="31">
        <f t="shared" si="2"/>
        <v>3130</v>
      </c>
      <c r="N12" s="29"/>
      <c r="O12" s="30">
        <f>39</f>
        <v>39</v>
      </c>
      <c r="P12" s="28">
        <v>0</v>
      </c>
      <c r="Q12" s="28">
        <f>-39+129</f>
        <v>90</v>
      </c>
      <c r="R12" s="28">
        <f t="shared" si="3"/>
        <v>3259</v>
      </c>
      <c r="S12" s="29"/>
      <c r="T12" s="30">
        <v>0</v>
      </c>
      <c r="U12" s="28">
        <v>0</v>
      </c>
      <c r="V12" s="28">
        <v>138</v>
      </c>
      <c r="W12" s="28">
        <f t="shared" si="0"/>
        <v>3397</v>
      </c>
    </row>
    <row r="13" spans="1:23" ht="24.75" customHeight="1">
      <c r="A13" s="52" t="s">
        <v>82</v>
      </c>
      <c r="B13" s="28">
        <v>1792</v>
      </c>
      <c r="C13" s="29"/>
      <c r="D13" s="28">
        <f>23</f>
        <v>23</v>
      </c>
      <c r="E13" s="28">
        <v>0</v>
      </c>
      <c r="F13" s="28">
        <v>0</v>
      </c>
      <c r="G13" s="28">
        <f>84-23</f>
        <v>61</v>
      </c>
      <c r="H13" s="28">
        <f t="shared" si="1"/>
        <v>1876</v>
      </c>
      <c r="I13" s="29"/>
      <c r="J13" s="30">
        <f>24</f>
        <v>24</v>
      </c>
      <c r="K13" s="28">
        <v>0</v>
      </c>
      <c r="L13" s="28">
        <f>-24+87</f>
        <v>63</v>
      </c>
      <c r="M13" s="31">
        <f t="shared" si="2"/>
        <v>1963</v>
      </c>
      <c r="N13" s="29"/>
      <c r="O13" s="30">
        <f>26</f>
        <v>26</v>
      </c>
      <c r="P13" s="28">
        <v>0</v>
      </c>
      <c r="Q13" s="28">
        <f>-26+96</f>
        <v>70</v>
      </c>
      <c r="R13" s="28">
        <f t="shared" si="3"/>
        <v>2059</v>
      </c>
      <c r="S13" s="29"/>
      <c r="T13" s="30">
        <v>0</v>
      </c>
      <c r="U13" s="28">
        <v>0</v>
      </c>
      <c r="V13" s="28">
        <v>102</v>
      </c>
      <c r="W13" s="28">
        <f t="shared" si="0"/>
        <v>2161</v>
      </c>
    </row>
    <row r="14" spans="1:23" ht="24.75" customHeight="1">
      <c r="A14" s="52" t="s">
        <v>83</v>
      </c>
      <c r="B14" s="28">
        <v>344</v>
      </c>
      <c r="C14" s="29"/>
      <c r="D14" s="28">
        <f>8</f>
        <v>8</v>
      </c>
      <c r="E14" s="28">
        <v>0</v>
      </c>
      <c r="F14" s="28">
        <v>0</v>
      </c>
      <c r="G14" s="32">
        <f>34-8</f>
        <v>26</v>
      </c>
      <c r="H14" s="28">
        <f t="shared" si="1"/>
        <v>378</v>
      </c>
      <c r="I14" s="29"/>
      <c r="J14" s="30">
        <f>8</f>
        <v>8</v>
      </c>
      <c r="K14" s="28">
        <v>0</v>
      </c>
      <c r="L14" s="32">
        <f>-8+36</f>
        <v>28</v>
      </c>
      <c r="M14" s="31">
        <f t="shared" si="2"/>
        <v>414</v>
      </c>
      <c r="N14" s="29"/>
      <c r="O14" s="30">
        <f>9</f>
        <v>9</v>
      </c>
      <c r="P14" s="28">
        <v>0</v>
      </c>
      <c r="Q14" s="32">
        <f>-9+39</f>
        <v>30</v>
      </c>
      <c r="R14" s="28">
        <f t="shared" si="3"/>
        <v>453</v>
      </c>
      <c r="S14" s="29"/>
      <c r="T14" s="30">
        <v>0</v>
      </c>
      <c r="U14" s="28">
        <v>0</v>
      </c>
      <c r="V14" s="32">
        <v>41</v>
      </c>
      <c r="W14" s="28">
        <f t="shared" si="0"/>
        <v>494</v>
      </c>
    </row>
    <row r="15" spans="1:23" ht="24.75" customHeight="1">
      <c r="A15" s="52" t="s">
        <v>84</v>
      </c>
      <c r="B15" s="28">
        <v>2742</v>
      </c>
      <c r="C15" s="29"/>
      <c r="D15" s="28">
        <f>-25+7</f>
        <v>-18</v>
      </c>
      <c r="E15" s="28">
        <v>0</v>
      </c>
      <c r="F15" s="28">
        <v>-88</v>
      </c>
      <c r="G15" s="32">
        <f>84-7</f>
        <v>77</v>
      </c>
      <c r="H15" s="28">
        <f t="shared" si="1"/>
        <v>2713</v>
      </c>
      <c r="I15" s="29"/>
      <c r="J15" s="30">
        <f>7</f>
        <v>7</v>
      </c>
      <c r="K15" s="28">
        <v>0</v>
      </c>
      <c r="L15" s="32">
        <f>-7+87</f>
        <v>80</v>
      </c>
      <c r="M15" s="31">
        <f t="shared" si="2"/>
        <v>2800</v>
      </c>
      <c r="N15" s="29"/>
      <c r="O15" s="30">
        <f>8</f>
        <v>8</v>
      </c>
      <c r="P15" s="28">
        <v>0</v>
      </c>
      <c r="Q15" s="32">
        <f>-8+95</f>
        <v>87</v>
      </c>
      <c r="R15" s="28">
        <f t="shared" si="3"/>
        <v>2895</v>
      </c>
      <c r="S15" s="29"/>
      <c r="T15" s="30">
        <v>0</v>
      </c>
      <c r="U15" s="28">
        <v>0</v>
      </c>
      <c r="V15" s="32">
        <v>108</v>
      </c>
      <c r="W15" s="28">
        <f t="shared" si="0"/>
        <v>3003</v>
      </c>
    </row>
    <row r="16" spans="1:23" ht="24.75" customHeight="1">
      <c r="A16" s="52" t="s">
        <v>85</v>
      </c>
      <c r="B16" s="28">
        <v>19751</v>
      </c>
      <c r="C16" s="29"/>
      <c r="D16" s="28">
        <f>76+39</f>
        <v>115</v>
      </c>
      <c r="E16" s="28">
        <v>0</v>
      </c>
      <c r="F16" s="28">
        <v>-169</v>
      </c>
      <c r="G16" s="32">
        <f>440-39</f>
        <v>401</v>
      </c>
      <c r="H16" s="28">
        <f t="shared" si="1"/>
        <v>20098</v>
      </c>
      <c r="I16" s="29"/>
      <c r="J16" s="30">
        <v>41</v>
      </c>
      <c r="K16" s="28">
        <v>0</v>
      </c>
      <c r="L16" s="32">
        <f>-41+455</f>
        <v>414</v>
      </c>
      <c r="M16" s="31">
        <f t="shared" si="2"/>
        <v>20553</v>
      </c>
      <c r="N16" s="29"/>
      <c r="O16" s="30">
        <f>43</f>
        <v>43</v>
      </c>
      <c r="P16" s="28">
        <v>0</v>
      </c>
      <c r="Q16" s="32">
        <f>-43+474</f>
        <v>431</v>
      </c>
      <c r="R16" s="28">
        <f t="shared" si="3"/>
        <v>21027</v>
      </c>
      <c r="S16" s="29"/>
      <c r="T16" s="30">
        <v>0</v>
      </c>
      <c r="U16" s="28">
        <v>0</v>
      </c>
      <c r="V16" s="32">
        <v>538</v>
      </c>
      <c r="W16" s="28">
        <f t="shared" si="0"/>
        <v>21565</v>
      </c>
    </row>
    <row r="17" spans="1:23" ht="24.75" customHeight="1">
      <c r="A17" s="52" t="s">
        <v>86</v>
      </c>
      <c r="B17" s="28">
        <v>999</v>
      </c>
      <c r="C17" s="29"/>
      <c r="D17" s="28">
        <f>9</f>
        <v>9</v>
      </c>
      <c r="E17" s="28">
        <v>0</v>
      </c>
      <c r="F17" s="28">
        <v>0</v>
      </c>
      <c r="G17" s="28">
        <f>43-9</f>
        <v>34</v>
      </c>
      <c r="H17" s="28">
        <f t="shared" si="1"/>
        <v>1042</v>
      </c>
      <c r="I17" s="29"/>
      <c r="J17" s="30">
        <v>10</v>
      </c>
      <c r="K17" s="28">
        <v>0</v>
      </c>
      <c r="L17" s="28">
        <f>-10+43</f>
        <v>33</v>
      </c>
      <c r="M17" s="31">
        <f t="shared" si="2"/>
        <v>1085</v>
      </c>
      <c r="N17" s="29"/>
      <c r="O17" s="30">
        <f>10</f>
        <v>10</v>
      </c>
      <c r="P17" s="28">
        <v>0</v>
      </c>
      <c r="Q17" s="28">
        <f>-10+49</f>
        <v>39</v>
      </c>
      <c r="R17" s="28">
        <f t="shared" si="3"/>
        <v>1134</v>
      </c>
      <c r="S17" s="29"/>
      <c r="T17" s="30">
        <v>0</v>
      </c>
      <c r="U17" s="28">
        <v>0</v>
      </c>
      <c r="V17" s="28">
        <v>55</v>
      </c>
      <c r="W17" s="28">
        <f t="shared" si="0"/>
        <v>1189</v>
      </c>
    </row>
    <row r="18" spans="1:23" ht="24.75" customHeight="1">
      <c r="A18" s="52" t="s">
        <v>87</v>
      </c>
      <c r="B18" s="28">
        <v>1292</v>
      </c>
      <c r="C18" s="29"/>
      <c r="D18" s="28">
        <f>34</f>
        <v>34</v>
      </c>
      <c r="E18" s="28">
        <v>0</v>
      </c>
      <c r="F18" s="28">
        <v>-282</v>
      </c>
      <c r="G18" s="28">
        <f>167-34</f>
        <v>133</v>
      </c>
      <c r="H18" s="28">
        <f t="shared" si="1"/>
        <v>1177</v>
      </c>
      <c r="I18" s="29"/>
      <c r="J18" s="30">
        <v>36</v>
      </c>
      <c r="K18" s="28">
        <v>0</v>
      </c>
      <c r="L18" s="28">
        <f>-36+171</f>
        <v>135</v>
      </c>
      <c r="M18" s="31">
        <f t="shared" si="2"/>
        <v>1348</v>
      </c>
      <c r="N18" s="29"/>
      <c r="O18" s="30">
        <f>38</f>
        <v>38</v>
      </c>
      <c r="P18" s="28">
        <v>0</v>
      </c>
      <c r="Q18" s="28">
        <f>-38+165</f>
        <v>127</v>
      </c>
      <c r="R18" s="28">
        <f t="shared" si="3"/>
        <v>1513</v>
      </c>
      <c r="S18" s="29"/>
      <c r="T18" s="30">
        <v>0</v>
      </c>
      <c r="U18" s="28">
        <v>0</v>
      </c>
      <c r="V18" s="28">
        <v>190</v>
      </c>
      <c r="W18" s="28">
        <f t="shared" si="0"/>
        <v>1703</v>
      </c>
    </row>
    <row r="19" spans="1:23" ht="24.75" customHeight="1">
      <c r="A19" s="52" t="s">
        <v>88</v>
      </c>
      <c r="B19" s="28">
        <v>0</v>
      </c>
      <c r="C19" s="29"/>
      <c r="D19" s="28">
        <f>5</f>
        <v>5</v>
      </c>
      <c r="E19" s="28">
        <v>0</v>
      </c>
      <c r="F19" s="28">
        <v>-112</v>
      </c>
      <c r="G19" s="28">
        <v>-5</v>
      </c>
      <c r="H19" s="28">
        <f t="shared" si="1"/>
        <v>-112</v>
      </c>
      <c r="I19" s="29"/>
      <c r="J19" s="30">
        <v>6</v>
      </c>
      <c r="K19" s="30">
        <v>0</v>
      </c>
      <c r="L19" s="30">
        <v>-6</v>
      </c>
      <c r="M19" s="31">
        <f t="shared" si="2"/>
        <v>-112</v>
      </c>
      <c r="N19" s="29"/>
      <c r="O19" s="30">
        <f>6</f>
        <v>6</v>
      </c>
      <c r="P19" s="28">
        <v>0</v>
      </c>
      <c r="Q19" s="28">
        <v>-6</v>
      </c>
      <c r="R19" s="28">
        <f t="shared" si="3"/>
        <v>-112</v>
      </c>
      <c r="S19" s="29"/>
      <c r="T19" s="30">
        <v>0</v>
      </c>
      <c r="U19" s="28">
        <v>0</v>
      </c>
      <c r="V19" s="28">
        <v>0</v>
      </c>
      <c r="W19" s="28">
        <f t="shared" si="0"/>
        <v>-112</v>
      </c>
    </row>
    <row r="20" spans="1:23" ht="24.75" customHeight="1">
      <c r="A20" s="52" t="s">
        <v>89</v>
      </c>
      <c r="B20" s="28">
        <v>5114</v>
      </c>
      <c r="C20" s="29"/>
      <c r="D20" s="28">
        <f>41</f>
        <v>41</v>
      </c>
      <c r="E20" s="28">
        <v>0</v>
      </c>
      <c r="F20" s="28">
        <v>-12</v>
      </c>
      <c r="G20" s="28">
        <f>174-41</f>
        <v>133</v>
      </c>
      <c r="H20" s="28">
        <f t="shared" si="1"/>
        <v>5276</v>
      </c>
      <c r="I20" s="29"/>
      <c r="J20" s="30">
        <f>42</f>
        <v>42</v>
      </c>
      <c r="K20" s="28">
        <v>0</v>
      </c>
      <c r="L20" s="28">
        <f>-42+178</f>
        <v>136</v>
      </c>
      <c r="M20" s="31">
        <f t="shared" si="2"/>
        <v>5454</v>
      </c>
      <c r="N20" s="29"/>
      <c r="O20" s="30">
        <f>46</f>
        <v>46</v>
      </c>
      <c r="P20" s="28">
        <v>0</v>
      </c>
      <c r="Q20" s="28">
        <f>-46+187</f>
        <v>141</v>
      </c>
      <c r="R20" s="28">
        <f t="shared" si="3"/>
        <v>5641</v>
      </c>
      <c r="S20" s="29"/>
      <c r="T20" s="30">
        <v>0</v>
      </c>
      <c r="U20" s="28">
        <v>0</v>
      </c>
      <c r="V20" s="28">
        <v>193</v>
      </c>
      <c r="W20" s="28">
        <f t="shared" si="0"/>
        <v>5834</v>
      </c>
    </row>
    <row r="21" spans="1:23" ht="24.75" customHeight="1">
      <c r="A21" s="52" t="s">
        <v>90</v>
      </c>
      <c r="B21" s="28">
        <v>-87</v>
      </c>
      <c r="C21" s="29"/>
      <c r="D21" s="28">
        <v>0</v>
      </c>
      <c r="E21" s="28">
        <v>0</v>
      </c>
      <c r="F21" s="28">
        <v>0</v>
      </c>
      <c r="G21" s="28">
        <v>-2</v>
      </c>
      <c r="H21" s="28">
        <f t="shared" si="1"/>
        <v>-89</v>
      </c>
      <c r="I21" s="29"/>
      <c r="J21" s="30">
        <v>0</v>
      </c>
      <c r="K21" s="28">
        <v>0</v>
      </c>
      <c r="L21" s="28">
        <v>-2</v>
      </c>
      <c r="M21" s="31">
        <f t="shared" si="2"/>
        <v>-91</v>
      </c>
      <c r="N21" s="29"/>
      <c r="O21" s="30">
        <v>0</v>
      </c>
      <c r="P21" s="28">
        <v>0</v>
      </c>
      <c r="Q21" s="28">
        <v>-2</v>
      </c>
      <c r="R21" s="28">
        <f t="shared" si="3"/>
        <v>-93</v>
      </c>
      <c r="S21" s="29"/>
      <c r="T21" s="30">
        <v>0</v>
      </c>
      <c r="U21" s="28">
        <v>0</v>
      </c>
      <c r="V21" s="28">
        <v>-2</v>
      </c>
      <c r="W21" s="28">
        <f t="shared" si="0"/>
        <v>-95</v>
      </c>
    </row>
    <row r="22" spans="1:23" ht="24.75" customHeight="1">
      <c r="A22" s="52" t="s">
        <v>91</v>
      </c>
      <c r="B22" s="28">
        <v>694</v>
      </c>
      <c r="C22" s="29"/>
      <c r="D22" s="28">
        <v>0</v>
      </c>
      <c r="E22" s="28">
        <v>0</v>
      </c>
      <c r="F22" s="28">
        <v>0</v>
      </c>
      <c r="G22" s="28">
        <v>21</v>
      </c>
      <c r="H22" s="28">
        <f t="shared" si="1"/>
        <v>715</v>
      </c>
      <c r="I22" s="29"/>
      <c r="J22" s="30">
        <v>0</v>
      </c>
      <c r="K22" s="28">
        <v>-6</v>
      </c>
      <c r="L22" s="28">
        <v>21</v>
      </c>
      <c r="M22" s="31">
        <f t="shared" si="2"/>
        <v>730</v>
      </c>
      <c r="N22" s="29"/>
      <c r="O22" s="30">
        <v>0</v>
      </c>
      <c r="P22" s="28">
        <v>-6</v>
      </c>
      <c r="Q22" s="28">
        <v>22</v>
      </c>
      <c r="R22" s="28">
        <f t="shared" si="3"/>
        <v>746</v>
      </c>
      <c r="S22" s="29"/>
      <c r="T22" s="30">
        <v>0</v>
      </c>
      <c r="U22" s="28">
        <v>0</v>
      </c>
      <c r="V22" s="28">
        <v>23</v>
      </c>
      <c r="W22" s="28">
        <f t="shared" si="0"/>
        <v>769</v>
      </c>
    </row>
    <row r="23" spans="1:23" ht="24.75" customHeight="1">
      <c r="A23" s="52" t="s">
        <v>92</v>
      </c>
      <c r="B23" s="28">
        <v>366</v>
      </c>
      <c r="C23" s="29"/>
      <c r="D23" s="28">
        <v>0</v>
      </c>
      <c r="E23" s="28">
        <v>0</v>
      </c>
      <c r="F23" s="28">
        <v>0</v>
      </c>
      <c r="G23" s="28">
        <v>11</v>
      </c>
      <c r="H23" s="28">
        <f t="shared" si="1"/>
        <v>377</v>
      </c>
      <c r="I23" s="29"/>
      <c r="J23" s="30">
        <v>0</v>
      </c>
      <c r="K23" s="28">
        <v>0</v>
      </c>
      <c r="L23" s="28">
        <v>13</v>
      </c>
      <c r="M23" s="31">
        <f t="shared" si="2"/>
        <v>390</v>
      </c>
      <c r="N23" s="29"/>
      <c r="O23" s="30">
        <v>0</v>
      </c>
      <c r="P23" s="28">
        <v>0</v>
      </c>
      <c r="Q23" s="28">
        <v>15</v>
      </c>
      <c r="R23" s="28">
        <f t="shared" si="3"/>
        <v>405</v>
      </c>
      <c r="S23" s="29"/>
      <c r="T23" s="30">
        <v>0</v>
      </c>
      <c r="U23" s="28">
        <v>0</v>
      </c>
      <c r="V23" s="28">
        <v>17</v>
      </c>
      <c r="W23" s="28">
        <f t="shared" si="0"/>
        <v>422</v>
      </c>
    </row>
    <row r="24" spans="1:23" ht="24.75" customHeight="1">
      <c r="A24" s="52" t="s">
        <v>93</v>
      </c>
      <c r="B24" s="28">
        <v>0</v>
      </c>
      <c r="C24" s="29"/>
      <c r="D24" s="28">
        <v>0</v>
      </c>
      <c r="E24" s="28">
        <v>0</v>
      </c>
      <c r="F24" s="28">
        <v>-30</v>
      </c>
      <c r="G24" s="28">
        <v>0</v>
      </c>
      <c r="H24" s="28">
        <f t="shared" si="1"/>
        <v>-30</v>
      </c>
      <c r="I24" s="29"/>
      <c r="J24" s="30">
        <v>-80</v>
      </c>
      <c r="K24" s="30">
        <v>-1093</v>
      </c>
      <c r="L24" s="30">
        <v>0</v>
      </c>
      <c r="M24" s="31">
        <f t="shared" si="2"/>
        <v>-1203</v>
      </c>
      <c r="N24" s="29"/>
      <c r="O24" s="30">
        <v>0</v>
      </c>
      <c r="P24" s="28">
        <v>-1093</v>
      </c>
      <c r="Q24" s="28">
        <v>0</v>
      </c>
      <c r="R24" s="28">
        <f t="shared" si="3"/>
        <v>-2296</v>
      </c>
      <c r="S24" s="29"/>
      <c r="T24" s="30">
        <v>0</v>
      </c>
      <c r="U24" s="28">
        <v>0</v>
      </c>
      <c r="V24" s="28">
        <v>0</v>
      </c>
      <c r="W24" s="28">
        <f t="shared" si="0"/>
        <v>-2296</v>
      </c>
    </row>
    <row r="25" spans="1:23" ht="24.75" customHeight="1">
      <c r="A25" s="51"/>
      <c r="B25" s="28"/>
      <c r="C25" s="29"/>
      <c r="D25" s="28"/>
      <c r="E25" s="28"/>
      <c r="F25" s="28"/>
      <c r="G25" s="28"/>
      <c r="H25" s="28"/>
      <c r="I25" s="29"/>
      <c r="J25" s="30"/>
      <c r="K25" s="28"/>
      <c r="L25" s="28"/>
      <c r="M25" s="31"/>
      <c r="N25" s="29"/>
      <c r="O25" s="30"/>
      <c r="P25" s="28"/>
      <c r="Q25" s="28"/>
      <c r="R25" s="28"/>
      <c r="S25" s="29"/>
      <c r="T25" s="30"/>
      <c r="U25" s="28"/>
      <c r="V25" s="28"/>
      <c r="W25" s="28"/>
    </row>
    <row r="26" spans="1:23" s="17" customFormat="1" ht="24.75" customHeight="1">
      <c r="A26" s="38" t="s">
        <v>46</v>
      </c>
      <c r="B26" s="37">
        <f aca="true" t="shared" si="4" ref="B26:G26">SUM(B6:B24)</f>
        <v>41990</v>
      </c>
      <c r="C26" s="37">
        <f t="shared" si="4"/>
        <v>0</v>
      </c>
      <c r="D26" s="37">
        <f t="shared" si="4"/>
        <v>148</v>
      </c>
      <c r="E26" s="37">
        <f t="shared" si="4"/>
        <v>0</v>
      </c>
      <c r="F26" s="37">
        <f t="shared" si="4"/>
        <v>-907</v>
      </c>
      <c r="G26" s="37">
        <f t="shared" si="4"/>
        <v>1205</v>
      </c>
      <c r="H26" s="37">
        <f>SUM(B26:G26)</f>
        <v>42436</v>
      </c>
      <c r="I26" s="47"/>
      <c r="J26" s="37">
        <f>SUM(J6:J24)</f>
        <v>215</v>
      </c>
      <c r="K26" s="37">
        <f>SUM(K6:K24)</f>
        <v>-1099</v>
      </c>
      <c r="L26" s="37">
        <f>SUM(L6:L24)</f>
        <v>1263</v>
      </c>
      <c r="M26" s="45">
        <f t="shared" si="2"/>
        <v>42815</v>
      </c>
      <c r="N26" s="47"/>
      <c r="O26" s="37">
        <f>SUM(O6:O24)</f>
        <v>314</v>
      </c>
      <c r="P26" s="37">
        <f>SUM(P6:P24)</f>
        <v>-1099</v>
      </c>
      <c r="Q26" s="37">
        <f>SUM(Q6:Q24)</f>
        <v>1325</v>
      </c>
      <c r="R26" s="37">
        <f t="shared" si="3"/>
        <v>43355</v>
      </c>
      <c r="S26" s="47"/>
      <c r="T26" s="37">
        <f>SUM(T6:T24)</f>
        <v>0</v>
      </c>
      <c r="U26" s="37">
        <f>SUM(U6:U24)</f>
        <v>0</v>
      </c>
      <c r="V26" s="37">
        <f>SUM(V6:V24)</f>
        <v>1801</v>
      </c>
      <c r="W26" s="37">
        <f>SUM(R26:V26)</f>
        <v>45156</v>
      </c>
    </row>
    <row r="27" spans="1:18" s="12" customFormat="1" ht="12.75" customHeight="1">
      <c r="A27" s="13"/>
      <c r="B27" s="14"/>
      <c r="C27" s="14"/>
      <c r="D27" s="14"/>
      <c r="E27" s="15"/>
      <c r="F27" s="15"/>
      <c r="G27" s="15"/>
      <c r="H27" s="16"/>
      <c r="I27" s="14"/>
      <c r="J27" s="15"/>
      <c r="K27" s="15"/>
      <c r="L27" s="15"/>
      <c r="M27" s="15"/>
      <c r="N27" s="15"/>
      <c r="O27" s="14"/>
      <c r="P27" s="14"/>
      <c r="Q27" s="14"/>
      <c r="R27" s="14"/>
    </row>
    <row r="28" ht="13.5" customHeight="1">
      <c r="A28" s="17" t="s">
        <v>2</v>
      </c>
    </row>
    <row r="29" ht="12.75">
      <c r="A29" s="17" t="s">
        <v>25</v>
      </c>
    </row>
    <row r="30" ht="12.75">
      <c r="A30" s="17" t="s">
        <v>26</v>
      </c>
    </row>
    <row r="31" ht="12.75">
      <c r="A31" s="17" t="s">
        <v>27</v>
      </c>
    </row>
    <row r="32" ht="12.75">
      <c r="A32" s="17" t="s">
        <v>28</v>
      </c>
    </row>
    <row r="33" ht="12.75">
      <c r="A33" s="17" t="s">
        <v>29</v>
      </c>
    </row>
  </sheetData>
  <mergeCells count="4">
    <mergeCell ref="A2:W2"/>
    <mergeCell ref="D4:H4"/>
    <mergeCell ref="J4:M4"/>
    <mergeCell ref="O4:R4"/>
  </mergeCells>
  <printOptions/>
  <pageMargins left="0.75" right="0.75" top="1" bottom="1" header="0.5" footer="0.5"/>
  <pageSetup fitToHeight="1" fitToWidth="1" horizontalDpi="600" verticalDpi="600" orientation="landscape" paperSize="9" scale="59" r:id="rId2"/>
  <headerFooter alignWithMargins="0">
    <oddHeader>&amp;R&amp;"Arial,Bold"Appendix 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114</v>
      </c>
      <c r="V1" s="1"/>
    </row>
    <row r="2" spans="1:22" ht="15.75">
      <c r="A2" s="1" t="s">
        <v>51</v>
      </c>
      <c r="V2" s="1"/>
    </row>
    <row r="3" spans="1:23" ht="15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5" spans="1:23" s="10" customFormat="1" ht="24.75" customHeight="1">
      <c r="A5" s="3"/>
      <c r="B5" s="4" t="s">
        <v>3</v>
      </c>
      <c r="C5" s="5"/>
      <c r="D5" s="60" t="s">
        <v>0</v>
      </c>
      <c r="E5" s="61"/>
      <c r="F5" s="61"/>
      <c r="G5" s="61"/>
      <c r="H5" s="62"/>
      <c r="I5" s="8"/>
      <c r="J5" s="63" t="s">
        <v>1</v>
      </c>
      <c r="K5" s="64"/>
      <c r="L5" s="64"/>
      <c r="M5" s="65"/>
      <c r="N5" s="9"/>
      <c r="O5" s="63" t="s">
        <v>4</v>
      </c>
      <c r="P5" s="64"/>
      <c r="Q5" s="64"/>
      <c r="R5" s="65"/>
      <c r="S5" s="9"/>
      <c r="T5" s="6" t="s">
        <v>5</v>
      </c>
      <c r="U5" s="6"/>
      <c r="V5" s="6"/>
      <c r="W5" s="7"/>
    </row>
    <row r="6" spans="1:23" s="26" customFormat="1" ht="90.75" customHeight="1">
      <c r="A6" s="11" t="s">
        <v>6</v>
      </c>
      <c r="B6" s="20" t="s">
        <v>12</v>
      </c>
      <c r="C6" s="21"/>
      <c r="D6" s="22" t="s">
        <v>13</v>
      </c>
      <c r="E6" s="22" t="s">
        <v>7</v>
      </c>
      <c r="F6" s="22" t="s">
        <v>14</v>
      </c>
      <c r="G6" s="22" t="s">
        <v>8</v>
      </c>
      <c r="H6" s="20" t="s">
        <v>15</v>
      </c>
      <c r="I6" s="23"/>
      <c r="J6" s="22" t="s">
        <v>16</v>
      </c>
      <c r="K6" s="22" t="s">
        <v>17</v>
      </c>
      <c r="L6" s="22" t="s">
        <v>9</v>
      </c>
      <c r="M6" s="24" t="s">
        <v>20</v>
      </c>
      <c r="N6" s="25"/>
      <c r="O6" s="22" t="s">
        <v>18</v>
      </c>
      <c r="P6" s="22" t="s">
        <v>19</v>
      </c>
      <c r="Q6" s="22" t="s">
        <v>10</v>
      </c>
      <c r="R6" s="20" t="s">
        <v>21</v>
      </c>
      <c r="S6" s="25"/>
      <c r="T6" s="22" t="s">
        <v>22</v>
      </c>
      <c r="U6" s="22" t="s">
        <v>23</v>
      </c>
      <c r="V6" s="22" t="s">
        <v>11</v>
      </c>
      <c r="W6" s="20" t="s">
        <v>24</v>
      </c>
    </row>
    <row r="7" spans="1:23" ht="24.75" customHeight="1">
      <c r="A7" s="1" t="s">
        <v>53</v>
      </c>
      <c r="B7" s="28"/>
      <c r="C7" s="29"/>
      <c r="D7" s="28"/>
      <c r="E7" s="28"/>
      <c r="F7" s="28"/>
      <c r="G7" s="28"/>
      <c r="H7" s="28"/>
      <c r="I7" s="29"/>
      <c r="J7" s="30"/>
      <c r="K7" s="28"/>
      <c r="L7" s="28"/>
      <c r="M7" s="31"/>
      <c r="N7" s="29"/>
      <c r="O7" s="30"/>
      <c r="P7" s="28"/>
      <c r="Q7" s="28"/>
      <c r="R7" s="28"/>
      <c r="S7" s="29"/>
      <c r="T7" s="30"/>
      <c r="U7" s="28"/>
      <c r="V7" s="28"/>
      <c r="W7" s="28"/>
    </row>
    <row r="8" spans="1:23" ht="24.75" customHeight="1">
      <c r="A8" s="49" t="s">
        <v>54</v>
      </c>
      <c r="B8" s="28">
        <v>36</v>
      </c>
      <c r="C8" s="29"/>
      <c r="D8" s="28"/>
      <c r="E8" s="28"/>
      <c r="F8" s="28"/>
      <c r="G8" s="28">
        <v>1</v>
      </c>
      <c r="H8" s="28">
        <f>SUM(B8:G8)</f>
        <v>37</v>
      </c>
      <c r="I8" s="29"/>
      <c r="J8" s="30"/>
      <c r="K8" s="28"/>
      <c r="L8" s="28">
        <v>1</v>
      </c>
      <c r="M8" s="31">
        <f aca="true" t="shared" si="0" ref="M8:M14">SUM(H8:L8)</f>
        <v>38</v>
      </c>
      <c r="N8" s="29"/>
      <c r="O8" s="30"/>
      <c r="P8" s="28"/>
      <c r="Q8" s="28">
        <v>1</v>
      </c>
      <c r="R8" s="28">
        <f aca="true" t="shared" si="1" ref="R8:R14">SUM(M8:Q8)</f>
        <v>39</v>
      </c>
      <c r="S8" s="29"/>
      <c r="T8" s="30"/>
      <c r="U8" s="28"/>
      <c r="V8" s="28">
        <v>1</v>
      </c>
      <c r="W8" s="28">
        <f>SUM(R8:V8)</f>
        <v>40</v>
      </c>
    </row>
    <row r="9" spans="1:23" ht="24.75" customHeight="1">
      <c r="A9" s="49" t="s">
        <v>60</v>
      </c>
      <c r="B9" s="28">
        <v>63</v>
      </c>
      <c r="C9" s="29"/>
      <c r="D9" s="28"/>
      <c r="E9" s="28"/>
      <c r="F9" s="28">
        <v>-4</v>
      </c>
      <c r="G9" s="28">
        <v>6</v>
      </c>
      <c r="H9" s="28">
        <f>SUM(B9:G9)</f>
        <v>65</v>
      </c>
      <c r="I9" s="29"/>
      <c r="J9" s="30"/>
      <c r="K9" s="28"/>
      <c r="L9" s="28">
        <v>6</v>
      </c>
      <c r="M9" s="31">
        <f t="shared" si="0"/>
        <v>71</v>
      </c>
      <c r="N9" s="29"/>
      <c r="O9" s="30"/>
      <c r="P9" s="28"/>
      <c r="Q9" s="28">
        <v>6</v>
      </c>
      <c r="R9" s="28">
        <f t="shared" si="1"/>
        <v>77</v>
      </c>
      <c r="S9" s="29"/>
      <c r="T9" s="30"/>
      <c r="U9" s="28"/>
      <c r="V9" s="28">
        <v>6</v>
      </c>
      <c r="W9" s="28">
        <f aca="true" t="shared" si="2" ref="W9:W14">SUM(R9:V9)</f>
        <v>83</v>
      </c>
    </row>
    <row r="10" spans="1:23" ht="24.75" customHeight="1">
      <c r="A10" s="49" t="s">
        <v>55</v>
      </c>
      <c r="B10" s="28">
        <v>3941</v>
      </c>
      <c r="C10" s="29"/>
      <c r="D10" s="28">
        <f>52</f>
        <v>52</v>
      </c>
      <c r="E10" s="28"/>
      <c r="F10" s="28"/>
      <c r="G10" s="28">
        <f>-52+163</f>
        <v>111</v>
      </c>
      <c r="H10" s="28">
        <f>SUM(B10:G10)</f>
        <v>4104</v>
      </c>
      <c r="I10" s="29"/>
      <c r="J10" s="30">
        <f>55</f>
        <v>55</v>
      </c>
      <c r="K10" s="28"/>
      <c r="L10" s="28">
        <f>-55+169</f>
        <v>114</v>
      </c>
      <c r="M10" s="31">
        <f t="shared" si="0"/>
        <v>4273</v>
      </c>
      <c r="N10" s="29"/>
      <c r="O10" s="30">
        <f>58</f>
        <v>58</v>
      </c>
      <c r="P10" s="28"/>
      <c r="Q10" s="28">
        <f>-58+175</f>
        <v>117</v>
      </c>
      <c r="R10" s="28">
        <f t="shared" si="1"/>
        <v>4448</v>
      </c>
      <c r="S10" s="29"/>
      <c r="T10" s="30"/>
      <c r="U10" s="28"/>
      <c r="V10" s="28">
        <v>120</v>
      </c>
      <c r="W10" s="28">
        <f t="shared" si="2"/>
        <v>4568</v>
      </c>
    </row>
    <row r="11" spans="1:23" ht="23.25" customHeight="1">
      <c r="A11" s="49" t="s">
        <v>56</v>
      </c>
      <c r="B11" s="28">
        <v>5842</v>
      </c>
      <c r="C11" s="29"/>
      <c r="D11" s="28"/>
      <c r="E11" s="28"/>
      <c r="F11" s="28">
        <v>-345</v>
      </c>
      <c r="G11" s="28"/>
      <c r="H11" s="28">
        <f>SUM(B11:G11)</f>
        <v>5497</v>
      </c>
      <c r="I11" s="29"/>
      <c r="J11" s="30"/>
      <c r="K11" s="28"/>
      <c r="L11" s="28"/>
      <c r="M11" s="31">
        <f t="shared" si="0"/>
        <v>5497</v>
      </c>
      <c r="N11" s="29"/>
      <c r="O11" s="30"/>
      <c r="P11" s="28"/>
      <c r="Q11" s="28"/>
      <c r="R11" s="28">
        <f t="shared" si="1"/>
        <v>5497</v>
      </c>
      <c r="S11" s="29"/>
      <c r="T11" s="30"/>
      <c r="U11" s="28"/>
      <c r="V11" s="28"/>
      <c r="W11" s="28">
        <f t="shared" si="2"/>
        <v>5497</v>
      </c>
    </row>
    <row r="12" spans="1:23" ht="24.75" customHeight="1">
      <c r="A12" s="49" t="s">
        <v>57</v>
      </c>
      <c r="B12" s="28">
        <v>-307</v>
      </c>
      <c r="C12" s="29"/>
      <c r="D12" s="28"/>
      <c r="E12" s="28"/>
      <c r="F12" s="28">
        <v>-4</v>
      </c>
      <c r="G12" s="28"/>
      <c r="H12" s="28">
        <f aca="true" t="shared" si="3" ref="H12:H32">SUM(B12:G12)</f>
        <v>-311</v>
      </c>
      <c r="I12" s="29"/>
      <c r="J12" s="30"/>
      <c r="K12" s="28"/>
      <c r="L12" s="28"/>
      <c r="M12" s="31">
        <f t="shared" si="0"/>
        <v>-311</v>
      </c>
      <c r="N12" s="29"/>
      <c r="O12" s="30"/>
      <c r="P12" s="28"/>
      <c r="Q12" s="28"/>
      <c r="R12" s="28">
        <f t="shared" si="1"/>
        <v>-311</v>
      </c>
      <c r="S12" s="29"/>
      <c r="T12" s="30"/>
      <c r="U12" s="28"/>
      <c r="V12" s="28"/>
      <c r="W12" s="28">
        <f t="shared" si="2"/>
        <v>-311</v>
      </c>
    </row>
    <row r="13" spans="1:23" ht="24.75" customHeight="1">
      <c r="A13" s="49" t="s">
        <v>58</v>
      </c>
      <c r="B13" s="28">
        <v>33</v>
      </c>
      <c r="C13" s="29"/>
      <c r="D13" s="28"/>
      <c r="E13" s="28"/>
      <c r="F13" s="28">
        <v>-2</v>
      </c>
      <c r="G13" s="28"/>
      <c r="H13" s="28">
        <f t="shared" si="3"/>
        <v>31</v>
      </c>
      <c r="I13" s="29"/>
      <c r="J13" s="30"/>
      <c r="K13" s="28"/>
      <c r="L13" s="28"/>
      <c r="M13" s="31">
        <f t="shared" si="0"/>
        <v>31</v>
      </c>
      <c r="N13" s="29"/>
      <c r="O13" s="30"/>
      <c r="P13" s="28"/>
      <c r="Q13" s="28"/>
      <c r="R13" s="28">
        <f t="shared" si="1"/>
        <v>31</v>
      </c>
      <c r="S13" s="29"/>
      <c r="T13" s="30"/>
      <c r="U13" s="28"/>
      <c r="V13" s="28"/>
      <c r="W13" s="28">
        <f t="shared" si="2"/>
        <v>31</v>
      </c>
    </row>
    <row r="14" spans="1:23" s="17" customFormat="1" ht="24.75" customHeight="1">
      <c r="A14" s="50" t="s">
        <v>59</v>
      </c>
      <c r="B14" s="37">
        <f>SUM(B8:B13)</f>
        <v>9608</v>
      </c>
      <c r="C14" s="47"/>
      <c r="D14" s="37">
        <f>SUM(D8:D13)</f>
        <v>52</v>
      </c>
      <c r="E14" s="37">
        <f>SUM(E8:E13)</f>
        <v>0</v>
      </c>
      <c r="F14" s="37">
        <f>SUM(F8:F13)</f>
        <v>-355</v>
      </c>
      <c r="G14" s="37">
        <f>SUM(G8:G13)</f>
        <v>118</v>
      </c>
      <c r="H14" s="37">
        <f t="shared" si="3"/>
        <v>9423</v>
      </c>
      <c r="I14" s="47"/>
      <c r="J14" s="37">
        <f>SUM(J8:J13)</f>
        <v>55</v>
      </c>
      <c r="K14" s="37">
        <f>SUM(K8:K13)</f>
        <v>0</v>
      </c>
      <c r="L14" s="37">
        <f>SUM(L8:L13)</f>
        <v>121</v>
      </c>
      <c r="M14" s="45">
        <f t="shared" si="0"/>
        <v>9599</v>
      </c>
      <c r="N14" s="47"/>
      <c r="O14" s="37">
        <f>SUM(O8:O13)</f>
        <v>58</v>
      </c>
      <c r="P14" s="37">
        <f>SUM(P8:P13)</f>
        <v>0</v>
      </c>
      <c r="Q14" s="37">
        <f>SUM(Q8:Q13)</f>
        <v>124</v>
      </c>
      <c r="R14" s="37">
        <f t="shared" si="1"/>
        <v>9781</v>
      </c>
      <c r="S14" s="47"/>
      <c r="T14" s="37">
        <f>SUM(T8:T13)</f>
        <v>0</v>
      </c>
      <c r="U14" s="37">
        <f>SUM(U8:U13)</f>
        <v>0</v>
      </c>
      <c r="V14" s="37">
        <f>SUM(V8:V13)</f>
        <v>127</v>
      </c>
      <c r="W14" s="37">
        <f t="shared" si="2"/>
        <v>9908</v>
      </c>
    </row>
    <row r="15" spans="1:23" ht="24.75" customHeight="1">
      <c r="A15" s="49"/>
      <c r="B15" s="28"/>
      <c r="C15" s="29"/>
      <c r="D15" s="28"/>
      <c r="E15" s="28"/>
      <c r="F15" s="28"/>
      <c r="G15" s="32"/>
      <c r="H15" s="28"/>
      <c r="I15" s="29"/>
      <c r="J15" s="30"/>
      <c r="K15" s="28"/>
      <c r="L15" s="32"/>
      <c r="M15" s="31"/>
      <c r="N15" s="29"/>
      <c r="O15" s="30"/>
      <c r="P15" s="28"/>
      <c r="Q15" s="32"/>
      <c r="R15" s="28"/>
      <c r="S15" s="29"/>
      <c r="T15" s="30"/>
      <c r="U15" s="28"/>
      <c r="V15" s="32"/>
      <c r="W15" s="28"/>
    </row>
    <row r="16" spans="1:23" ht="24.75" customHeight="1">
      <c r="A16" s="50" t="s">
        <v>61</v>
      </c>
      <c r="B16" s="28"/>
      <c r="C16" s="29"/>
      <c r="D16" s="28"/>
      <c r="E16" s="28"/>
      <c r="F16" s="28"/>
      <c r="G16" s="32"/>
      <c r="H16" s="28"/>
      <c r="I16" s="29"/>
      <c r="J16" s="30"/>
      <c r="K16" s="28"/>
      <c r="L16" s="32"/>
      <c r="M16" s="31"/>
      <c r="N16" s="29"/>
      <c r="O16" s="30"/>
      <c r="P16" s="28"/>
      <c r="Q16" s="32"/>
      <c r="R16" s="28"/>
      <c r="S16" s="29"/>
      <c r="T16" s="30"/>
      <c r="U16" s="28"/>
      <c r="V16" s="32"/>
      <c r="W16" s="28"/>
    </row>
    <row r="17" spans="1:23" ht="24.75" customHeight="1">
      <c r="A17" s="49" t="s">
        <v>62</v>
      </c>
      <c r="B17" s="28">
        <v>1123</v>
      </c>
      <c r="C17" s="29"/>
      <c r="D17" s="28">
        <f>6</f>
        <v>6</v>
      </c>
      <c r="E17" s="28"/>
      <c r="F17" s="28">
        <v>-20</v>
      </c>
      <c r="G17" s="32">
        <f>-6+31</f>
        <v>25</v>
      </c>
      <c r="H17" s="28">
        <f t="shared" si="3"/>
        <v>1134</v>
      </c>
      <c r="I17" s="29"/>
      <c r="J17" s="30">
        <f>8</f>
        <v>8</v>
      </c>
      <c r="K17" s="28"/>
      <c r="L17" s="32">
        <f>-8+35</f>
        <v>27</v>
      </c>
      <c r="M17" s="31">
        <f aca="true" t="shared" si="4" ref="M17:M22">SUM(H17:L17)</f>
        <v>1169</v>
      </c>
      <c r="N17" s="29"/>
      <c r="O17" s="30">
        <f>8</f>
        <v>8</v>
      </c>
      <c r="P17" s="28"/>
      <c r="Q17" s="32">
        <f>-8+36</f>
        <v>28</v>
      </c>
      <c r="R17" s="28">
        <f aca="true" t="shared" si="5" ref="R17:R22">SUM(M17:Q17)</f>
        <v>1205</v>
      </c>
      <c r="S17" s="29"/>
      <c r="T17" s="30"/>
      <c r="U17" s="28"/>
      <c r="V17" s="32">
        <v>29</v>
      </c>
      <c r="W17" s="28">
        <f aca="true" t="shared" si="6" ref="W17:W22">SUM(R17:V17)</f>
        <v>1234</v>
      </c>
    </row>
    <row r="18" spans="1:23" ht="24.75" customHeight="1">
      <c r="A18" s="49" t="s">
        <v>63</v>
      </c>
      <c r="B18" s="28">
        <v>419</v>
      </c>
      <c r="C18" s="29"/>
      <c r="D18" s="28">
        <f>9+28</f>
        <v>37</v>
      </c>
      <c r="E18" s="28"/>
      <c r="F18" s="28">
        <v>-7</v>
      </c>
      <c r="G18" s="32">
        <f>-9+18</f>
        <v>9</v>
      </c>
      <c r="H18" s="28">
        <f t="shared" si="3"/>
        <v>458</v>
      </c>
      <c r="I18" s="29"/>
      <c r="J18" s="30">
        <v>9</v>
      </c>
      <c r="K18" s="28"/>
      <c r="L18" s="32">
        <f>-9+18</f>
        <v>9</v>
      </c>
      <c r="M18" s="31">
        <f t="shared" si="4"/>
        <v>476</v>
      </c>
      <c r="N18" s="29"/>
      <c r="O18" s="30">
        <f>10</f>
        <v>10</v>
      </c>
      <c r="P18" s="28"/>
      <c r="Q18" s="32">
        <f>-10+19</f>
        <v>9</v>
      </c>
      <c r="R18" s="28">
        <f t="shared" si="5"/>
        <v>495</v>
      </c>
      <c r="S18" s="29"/>
      <c r="T18" s="30"/>
      <c r="U18" s="28"/>
      <c r="V18" s="32">
        <v>9</v>
      </c>
      <c r="W18" s="28">
        <f t="shared" si="6"/>
        <v>504</v>
      </c>
    </row>
    <row r="19" spans="1:23" ht="24.75" customHeight="1">
      <c r="A19" s="49" t="s">
        <v>64</v>
      </c>
      <c r="B19" s="28">
        <v>38</v>
      </c>
      <c r="C19" s="29"/>
      <c r="D19" s="28"/>
      <c r="E19" s="28"/>
      <c r="F19" s="28"/>
      <c r="G19" s="32">
        <v>1</v>
      </c>
      <c r="H19" s="28">
        <f t="shared" si="3"/>
        <v>39</v>
      </c>
      <c r="I19" s="29"/>
      <c r="J19" s="30"/>
      <c r="K19" s="28"/>
      <c r="L19" s="32">
        <v>1</v>
      </c>
      <c r="M19" s="31">
        <f t="shared" si="4"/>
        <v>40</v>
      </c>
      <c r="N19" s="29"/>
      <c r="O19" s="30"/>
      <c r="P19" s="28"/>
      <c r="Q19" s="32"/>
      <c r="R19" s="28">
        <f t="shared" si="5"/>
        <v>40</v>
      </c>
      <c r="S19" s="29"/>
      <c r="T19" s="30"/>
      <c r="U19" s="28"/>
      <c r="V19" s="32">
        <v>1</v>
      </c>
      <c r="W19" s="28">
        <f t="shared" si="6"/>
        <v>41</v>
      </c>
    </row>
    <row r="20" spans="1:23" ht="24.75" customHeight="1">
      <c r="A20" s="49" t="s">
        <v>65</v>
      </c>
      <c r="B20" s="28">
        <v>412</v>
      </c>
      <c r="C20" s="29"/>
      <c r="D20" s="28"/>
      <c r="E20" s="28"/>
      <c r="F20" s="28">
        <v>-1</v>
      </c>
      <c r="G20" s="32">
        <v>4</v>
      </c>
      <c r="H20" s="28">
        <f t="shared" si="3"/>
        <v>415</v>
      </c>
      <c r="I20" s="29"/>
      <c r="J20" s="30"/>
      <c r="K20" s="28"/>
      <c r="L20" s="32">
        <v>2</v>
      </c>
      <c r="M20" s="31">
        <f t="shared" si="4"/>
        <v>417</v>
      </c>
      <c r="N20" s="29"/>
      <c r="O20" s="30"/>
      <c r="P20" s="28"/>
      <c r="Q20" s="32">
        <v>5</v>
      </c>
      <c r="R20" s="28">
        <f t="shared" si="5"/>
        <v>422</v>
      </c>
      <c r="S20" s="29"/>
      <c r="T20" s="30"/>
      <c r="U20" s="28"/>
      <c r="V20" s="32">
        <v>5</v>
      </c>
      <c r="W20" s="28">
        <f t="shared" si="6"/>
        <v>427</v>
      </c>
    </row>
    <row r="21" spans="1:23" ht="24.75" customHeight="1">
      <c r="A21" s="49" t="s">
        <v>66</v>
      </c>
      <c r="B21" s="28">
        <v>7</v>
      </c>
      <c r="C21" s="29"/>
      <c r="D21" s="28"/>
      <c r="E21" s="28"/>
      <c r="F21" s="28">
        <v>-2</v>
      </c>
      <c r="G21" s="32"/>
      <c r="H21" s="28">
        <f t="shared" si="3"/>
        <v>5</v>
      </c>
      <c r="I21" s="29"/>
      <c r="J21" s="30"/>
      <c r="K21" s="28"/>
      <c r="L21" s="32"/>
      <c r="M21" s="31">
        <f t="shared" si="4"/>
        <v>5</v>
      </c>
      <c r="N21" s="29"/>
      <c r="O21" s="30"/>
      <c r="P21" s="28"/>
      <c r="Q21" s="32"/>
      <c r="R21" s="28">
        <f t="shared" si="5"/>
        <v>5</v>
      </c>
      <c r="S21" s="29"/>
      <c r="T21" s="30"/>
      <c r="U21" s="28"/>
      <c r="V21" s="32"/>
      <c r="W21" s="28">
        <f t="shared" si="6"/>
        <v>5</v>
      </c>
    </row>
    <row r="22" spans="1:23" s="17" customFormat="1" ht="24.75" customHeight="1">
      <c r="A22" s="50" t="s">
        <v>59</v>
      </c>
      <c r="B22" s="37">
        <f>SUM(B17:B21)</f>
        <v>1999</v>
      </c>
      <c r="C22" s="47"/>
      <c r="D22" s="37">
        <f>SUM(D17:D21)</f>
        <v>43</v>
      </c>
      <c r="E22" s="37">
        <f>SUM(E17:E21)</f>
        <v>0</v>
      </c>
      <c r="F22" s="37">
        <f>SUM(F17:F21)</f>
        <v>-30</v>
      </c>
      <c r="G22" s="37">
        <f>SUM(G17:G21)</f>
        <v>39</v>
      </c>
      <c r="H22" s="37">
        <f t="shared" si="3"/>
        <v>2051</v>
      </c>
      <c r="I22" s="47"/>
      <c r="J22" s="37">
        <f>SUM(J17:J21)</f>
        <v>17</v>
      </c>
      <c r="K22" s="37">
        <f>SUM(K17:K21)</f>
        <v>0</v>
      </c>
      <c r="L22" s="37">
        <f>SUM(L17:L21)</f>
        <v>39</v>
      </c>
      <c r="M22" s="45">
        <f t="shared" si="4"/>
        <v>2107</v>
      </c>
      <c r="N22" s="47"/>
      <c r="O22" s="37">
        <f>SUM(O17:O21)</f>
        <v>18</v>
      </c>
      <c r="P22" s="37">
        <f>SUM(P17:P21)</f>
        <v>0</v>
      </c>
      <c r="Q22" s="37">
        <f>SUM(Q17:Q21)</f>
        <v>42</v>
      </c>
      <c r="R22" s="37">
        <f t="shared" si="5"/>
        <v>2167</v>
      </c>
      <c r="S22" s="47"/>
      <c r="T22" s="37">
        <f>SUM(T17:T21)</f>
        <v>0</v>
      </c>
      <c r="U22" s="37">
        <f>SUM(U17:U21)</f>
        <v>0</v>
      </c>
      <c r="V22" s="37">
        <f>SUM(V17:V21)</f>
        <v>44</v>
      </c>
      <c r="W22" s="37">
        <f t="shared" si="6"/>
        <v>2211</v>
      </c>
    </row>
    <row r="23" spans="1:23" ht="24.75" customHeight="1">
      <c r="A23" s="49"/>
      <c r="B23" s="28"/>
      <c r="C23" s="29"/>
      <c r="D23" s="28"/>
      <c r="E23" s="28"/>
      <c r="F23" s="28"/>
      <c r="G23" s="28"/>
      <c r="H23" s="28"/>
      <c r="I23" s="29"/>
      <c r="J23" s="30"/>
      <c r="K23" s="28"/>
      <c r="L23" s="32"/>
      <c r="M23" s="31"/>
      <c r="N23" s="29"/>
      <c r="O23" s="30"/>
      <c r="P23" s="28"/>
      <c r="Q23" s="32"/>
      <c r="R23" s="28"/>
      <c r="S23" s="29"/>
      <c r="T23" s="30"/>
      <c r="U23" s="28"/>
      <c r="V23" s="32"/>
      <c r="W23" s="28"/>
    </row>
    <row r="24" spans="1:23" ht="24.75" customHeight="1">
      <c r="A24" s="50" t="s">
        <v>67</v>
      </c>
      <c r="B24" s="28"/>
      <c r="C24" s="29"/>
      <c r="D24" s="28"/>
      <c r="E24" s="28"/>
      <c r="F24" s="28"/>
      <c r="G24" s="28"/>
      <c r="H24" s="28"/>
      <c r="I24" s="29"/>
      <c r="J24" s="30"/>
      <c r="K24" s="28"/>
      <c r="L24" s="32"/>
      <c r="M24" s="31"/>
      <c r="N24" s="29"/>
      <c r="O24" s="30"/>
      <c r="P24" s="28"/>
      <c r="Q24" s="32"/>
      <c r="R24" s="28"/>
      <c r="S24" s="29"/>
      <c r="T24" s="30"/>
      <c r="U24" s="28"/>
      <c r="V24" s="32"/>
      <c r="W24" s="28"/>
    </row>
    <row r="25" spans="1:23" ht="24.75" customHeight="1">
      <c r="A25" s="49" t="s">
        <v>68</v>
      </c>
      <c r="B25" s="28">
        <v>500</v>
      </c>
      <c r="C25" s="29"/>
      <c r="D25" s="28"/>
      <c r="E25" s="28"/>
      <c r="F25" s="28"/>
      <c r="G25" s="28"/>
      <c r="H25" s="28">
        <f t="shared" si="3"/>
        <v>500</v>
      </c>
      <c r="I25" s="29"/>
      <c r="J25" s="30"/>
      <c r="K25" s="28"/>
      <c r="L25" s="32"/>
      <c r="M25" s="31">
        <f>SUM(H25:L25)</f>
        <v>500</v>
      </c>
      <c r="N25" s="29"/>
      <c r="O25" s="30"/>
      <c r="P25" s="28"/>
      <c r="Q25" s="32"/>
      <c r="R25" s="28">
        <f>SUM(M25:Q25)</f>
        <v>500</v>
      </c>
      <c r="S25" s="29"/>
      <c r="T25" s="30"/>
      <c r="U25" s="28"/>
      <c r="V25" s="32"/>
      <c r="W25" s="28">
        <f aca="true" t="shared" si="7" ref="W25:W32">SUM(R25:V25)</f>
        <v>500</v>
      </c>
    </row>
    <row r="26" spans="1:23" ht="24.75" customHeight="1">
      <c r="A26" s="49" t="s">
        <v>69</v>
      </c>
      <c r="B26" s="28">
        <f>4068+227</f>
        <v>4295</v>
      </c>
      <c r="C26" s="29"/>
      <c r="D26" s="28">
        <f>28+40+168</f>
        <v>236</v>
      </c>
      <c r="E26" s="28"/>
      <c r="F26" s="28">
        <v>-28</v>
      </c>
      <c r="G26" s="28">
        <f>-40+170</f>
        <v>130</v>
      </c>
      <c r="H26" s="28">
        <f t="shared" si="3"/>
        <v>4633</v>
      </c>
      <c r="I26" s="29"/>
      <c r="J26" s="30">
        <f>42</f>
        <v>42</v>
      </c>
      <c r="K26" s="28"/>
      <c r="L26" s="32">
        <f>-42+178+11</f>
        <v>147</v>
      </c>
      <c r="M26" s="31">
        <f aca="true" t="shared" si="8" ref="M26:M31">SUM(H26:L26)</f>
        <v>4822</v>
      </c>
      <c r="N26" s="29"/>
      <c r="O26" s="30">
        <f>45</f>
        <v>45</v>
      </c>
      <c r="P26" s="28"/>
      <c r="Q26" s="32">
        <f>-45+185+11</f>
        <v>151</v>
      </c>
      <c r="R26" s="28">
        <f aca="true" t="shared" si="9" ref="R26:R31">SUM(M26:Q26)</f>
        <v>5018</v>
      </c>
      <c r="S26" s="29"/>
      <c r="T26" s="30"/>
      <c r="U26" s="28"/>
      <c r="V26" s="32">
        <v>155</v>
      </c>
      <c r="W26" s="28">
        <f t="shared" si="7"/>
        <v>5173</v>
      </c>
    </row>
    <row r="27" spans="1:23" ht="24.75" customHeight="1">
      <c r="A27" s="49" t="s">
        <v>70</v>
      </c>
      <c r="B27" s="28">
        <v>786</v>
      </c>
      <c r="C27" s="29"/>
      <c r="D27" s="28">
        <v>-56</v>
      </c>
      <c r="E27" s="28"/>
      <c r="F27" s="28"/>
      <c r="G27" s="28">
        <v>7</v>
      </c>
      <c r="H27" s="28">
        <f t="shared" si="3"/>
        <v>737</v>
      </c>
      <c r="I27" s="29"/>
      <c r="J27" s="30"/>
      <c r="K27" s="28"/>
      <c r="L27" s="32">
        <v>7</v>
      </c>
      <c r="M27" s="31">
        <f t="shared" si="8"/>
        <v>744</v>
      </c>
      <c r="N27" s="29"/>
      <c r="O27" s="30"/>
      <c r="P27" s="28"/>
      <c r="Q27" s="32">
        <v>7</v>
      </c>
      <c r="R27" s="28">
        <f t="shared" si="9"/>
        <v>751</v>
      </c>
      <c r="S27" s="29"/>
      <c r="T27" s="30"/>
      <c r="U27" s="28"/>
      <c r="V27" s="32">
        <v>7</v>
      </c>
      <c r="W27" s="28">
        <f t="shared" si="7"/>
        <v>758</v>
      </c>
    </row>
    <row r="28" spans="1:23" ht="24.75" customHeight="1">
      <c r="A28" s="49" t="s">
        <v>71</v>
      </c>
      <c r="B28" s="28">
        <v>153</v>
      </c>
      <c r="C28" s="29"/>
      <c r="D28" s="28">
        <f>1</f>
        <v>1</v>
      </c>
      <c r="E28" s="28"/>
      <c r="F28" s="28">
        <v>-3</v>
      </c>
      <c r="G28" s="28">
        <f>-1+9</f>
        <v>8</v>
      </c>
      <c r="H28" s="28">
        <f t="shared" si="3"/>
        <v>159</v>
      </c>
      <c r="I28" s="29"/>
      <c r="J28" s="30">
        <f>2</f>
        <v>2</v>
      </c>
      <c r="K28" s="28"/>
      <c r="L28" s="32">
        <f>-2+11</f>
        <v>9</v>
      </c>
      <c r="M28" s="31">
        <f t="shared" si="8"/>
        <v>170</v>
      </c>
      <c r="N28" s="29"/>
      <c r="O28" s="30">
        <f>2</f>
        <v>2</v>
      </c>
      <c r="P28" s="28"/>
      <c r="Q28" s="32">
        <f>-2+10</f>
        <v>8</v>
      </c>
      <c r="R28" s="28">
        <f t="shared" si="9"/>
        <v>180</v>
      </c>
      <c r="S28" s="29"/>
      <c r="T28" s="30"/>
      <c r="U28" s="28"/>
      <c r="V28" s="32">
        <v>8</v>
      </c>
      <c r="W28" s="28">
        <f t="shared" si="7"/>
        <v>188</v>
      </c>
    </row>
    <row r="29" spans="1:23" ht="24.75" customHeight="1">
      <c r="A29" s="49" t="s">
        <v>72</v>
      </c>
      <c r="B29" s="28">
        <v>121</v>
      </c>
      <c r="C29" s="29"/>
      <c r="D29" s="28"/>
      <c r="E29" s="28"/>
      <c r="F29" s="28">
        <v>-2</v>
      </c>
      <c r="G29" s="28">
        <v>3</v>
      </c>
      <c r="H29" s="28">
        <f t="shared" si="3"/>
        <v>122</v>
      </c>
      <c r="I29" s="29"/>
      <c r="J29" s="30"/>
      <c r="K29" s="28"/>
      <c r="L29" s="32">
        <v>3</v>
      </c>
      <c r="M29" s="31">
        <f t="shared" si="8"/>
        <v>125</v>
      </c>
      <c r="N29" s="29"/>
      <c r="O29" s="30"/>
      <c r="P29" s="28"/>
      <c r="Q29" s="32">
        <v>4</v>
      </c>
      <c r="R29" s="28">
        <f t="shared" si="9"/>
        <v>129</v>
      </c>
      <c r="S29" s="29"/>
      <c r="T29" s="30"/>
      <c r="U29" s="28"/>
      <c r="V29" s="32">
        <v>4</v>
      </c>
      <c r="W29" s="28">
        <f t="shared" si="7"/>
        <v>133</v>
      </c>
    </row>
    <row r="30" spans="1:23" ht="24.75" customHeight="1">
      <c r="A30" s="49" t="s">
        <v>73</v>
      </c>
      <c r="B30" s="28">
        <v>35</v>
      </c>
      <c r="C30" s="29"/>
      <c r="D30" s="28"/>
      <c r="E30" s="28"/>
      <c r="F30" s="28">
        <v>-1</v>
      </c>
      <c r="G30" s="28">
        <v>1</v>
      </c>
      <c r="H30" s="28">
        <f t="shared" si="3"/>
        <v>35</v>
      </c>
      <c r="I30" s="29"/>
      <c r="J30" s="30"/>
      <c r="K30" s="28"/>
      <c r="L30" s="28">
        <v>1</v>
      </c>
      <c r="M30" s="31">
        <f t="shared" si="8"/>
        <v>36</v>
      </c>
      <c r="N30" s="29"/>
      <c r="O30" s="30"/>
      <c r="P30" s="28"/>
      <c r="Q30" s="28">
        <v>1</v>
      </c>
      <c r="R30" s="28">
        <f t="shared" si="9"/>
        <v>37</v>
      </c>
      <c r="S30" s="29"/>
      <c r="T30" s="30"/>
      <c r="U30" s="28"/>
      <c r="V30" s="28">
        <v>1</v>
      </c>
      <c r="W30" s="28">
        <f t="shared" si="7"/>
        <v>38</v>
      </c>
    </row>
    <row r="31" spans="1:23" ht="24.75" customHeight="1">
      <c r="A31" s="49" t="s">
        <v>74</v>
      </c>
      <c r="B31" s="28">
        <v>1489</v>
      </c>
      <c r="C31" s="29"/>
      <c r="D31" s="28">
        <f>4</f>
        <v>4</v>
      </c>
      <c r="E31" s="28"/>
      <c r="F31" s="28">
        <v>-18</v>
      </c>
      <c r="G31" s="28">
        <f>-4+41</f>
        <v>37</v>
      </c>
      <c r="H31" s="28">
        <f t="shared" si="3"/>
        <v>1512</v>
      </c>
      <c r="I31" s="29"/>
      <c r="J31" s="30">
        <f>3</f>
        <v>3</v>
      </c>
      <c r="K31" s="28"/>
      <c r="L31" s="28">
        <f>-3+42</f>
        <v>39</v>
      </c>
      <c r="M31" s="31">
        <f t="shared" si="8"/>
        <v>1554</v>
      </c>
      <c r="N31" s="29"/>
      <c r="O31" s="30">
        <f>4</f>
        <v>4</v>
      </c>
      <c r="P31" s="28"/>
      <c r="Q31" s="28">
        <f>-4+43</f>
        <v>39</v>
      </c>
      <c r="R31" s="28">
        <f t="shared" si="9"/>
        <v>1597</v>
      </c>
      <c r="S31" s="29"/>
      <c r="T31" s="30"/>
      <c r="U31" s="28"/>
      <c r="V31" s="28">
        <v>40</v>
      </c>
      <c r="W31" s="28">
        <f t="shared" si="7"/>
        <v>1637</v>
      </c>
    </row>
    <row r="32" spans="1:23" s="17" customFormat="1" ht="24.75" customHeight="1">
      <c r="A32" s="50" t="s">
        <v>59</v>
      </c>
      <c r="B32" s="37">
        <f>SUM(B25:B31)</f>
        <v>7379</v>
      </c>
      <c r="C32" s="47"/>
      <c r="D32" s="37">
        <f>SUM(D25:D31)</f>
        <v>185</v>
      </c>
      <c r="E32" s="37">
        <f>SUM(E25:E31)</f>
        <v>0</v>
      </c>
      <c r="F32" s="37">
        <f>SUM(F25:F31)</f>
        <v>-52</v>
      </c>
      <c r="G32" s="37">
        <f>SUM(G25:G31)</f>
        <v>186</v>
      </c>
      <c r="H32" s="37">
        <f t="shared" si="3"/>
        <v>7698</v>
      </c>
      <c r="I32" s="47"/>
      <c r="J32" s="37">
        <f>SUM(J25:J31)</f>
        <v>47</v>
      </c>
      <c r="K32" s="37">
        <f>SUM(K25:K31)</f>
        <v>0</v>
      </c>
      <c r="L32" s="37">
        <f>SUM(L25:L31)</f>
        <v>206</v>
      </c>
      <c r="M32" s="45">
        <f>SUM(H32:L32)</f>
        <v>7951</v>
      </c>
      <c r="N32" s="47"/>
      <c r="O32" s="37">
        <f>SUM(O25:O31)</f>
        <v>51</v>
      </c>
      <c r="P32" s="37">
        <f>SUM(P25:P31)</f>
        <v>0</v>
      </c>
      <c r="Q32" s="37">
        <f>SUM(Q25:Q31)</f>
        <v>210</v>
      </c>
      <c r="R32" s="37">
        <f>SUM(M32:Q32)</f>
        <v>8212</v>
      </c>
      <c r="S32" s="47"/>
      <c r="T32" s="37">
        <f>SUM(T25:T31)</f>
        <v>0</v>
      </c>
      <c r="U32" s="37">
        <f>SUM(U25:U31)</f>
        <v>0</v>
      </c>
      <c r="V32" s="37">
        <f>SUM(V25:V31)</f>
        <v>215</v>
      </c>
      <c r="W32" s="37">
        <f t="shared" si="7"/>
        <v>8427</v>
      </c>
    </row>
    <row r="33" spans="1:23" s="17" customFormat="1" ht="24.75" customHeight="1">
      <c r="A33" s="49"/>
      <c r="B33" s="37"/>
      <c r="C33" s="37"/>
      <c r="D33" s="37"/>
      <c r="E33" s="37"/>
      <c r="F33" s="37"/>
      <c r="G33" s="37"/>
      <c r="H33" s="37"/>
      <c r="I33" s="47"/>
      <c r="J33" s="37"/>
      <c r="K33" s="37"/>
      <c r="L33" s="37"/>
      <c r="M33" s="45"/>
      <c r="N33" s="47"/>
      <c r="O33" s="37"/>
      <c r="P33" s="37"/>
      <c r="Q33" s="37"/>
      <c r="R33" s="37"/>
      <c r="S33" s="47"/>
      <c r="T33" s="48"/>
      <c r="U33" s="37"/>
      <c r="V33" s="37"/>
      <c r="W33" s="37"/>
    </row>
    <row r="34" spans="1:23" ht="24.75" customHeight="1">
      <c r="A34" s="49" t="s">
        <v>75</v>
      </c>
      <c r="B34" s="28"/>
      <c r="C34" s="29"/>
      <c r="D34" s="28"/>
      <c r="E34" s="28"/>
      <c r="F34" s="28"/>
      <c r="G34" s="28"/>
      <c r="H34" s="28"/>
      <c r="I34" s="29"/>
      <c r="J34" s="28"/>
      <c r="K34" s="28">
        <v>-539</v>
      </c>
      <c r="L34" s="28"/>
      <c r="M34" s="31">
        <f>SUM(H34:L34)</f>
        <v>-539</v>
      </c>
      <c r="N34" s="29"/>
      <c r="O34" s="30"/>
      <c r="P34" s="28">
        <v>-539</v>
      </c>
      <c r="Q34" s="28"/>
      <c r="R34" s="28">
        <f>SUM(M34:Q34)</f>
        <v>-1078</v>
      </c>
      <c r="S34" s="29"/>
      <c r="T34" s="30"/>
      <c r="U34" s="28"/>
      <c r="V34" s="28"/>
      <c r="W34" s="28">
        <f>SUM(R34:V34)</f>
        <v>-1078</v>
      </c>
    </row>
    <row r="35" spans="1:23" s="19" customFormat="1" ht="24.75" customHeight="1">
      <c r="A35" s="49"/>
      <c r="B35" s="33"/>
      <c r="C35" s="34"/>
      <c r="D35" s="33"/>
      <c r="E35" s="33"/>
      <c r="F35" s="33"/>
      <c r="G35" s="33"/>
      <c r="H35" s="28"/>
      <c r="I35" s="34"/>
      <c r="J35" s="33"/>
      <c r="K35" s="33"/>
      <c r="L35" s="33"/>
      <c r="M35" s="31"/>
      <c r="N35" s="33"/>
      <c r="O35" s="33"/>
      <c r="P35" s="33"/>
      <c r="Q35" s="33"/>
      <c r="R35" s="28"/>
      <c r="S35" s="33"/>
      <c r="T35" s="33"/>
      <c r="U35" s="33"/>
      <c r="V35" s="33"/>
      <c r="W35" s="33"/>
    </row>
    <row r="36" spans="1:23" s="39" customFormat="1" ht="34.5" customHeight="1">
      <c r="A36" s="50" t="s">
        <v>46</v>
      </c>
      <c r="B36" s="37">
        <f>B14+B22+B32+B34</f>
        <v>18986</v>
      </c>
      <c r="C36" s="37">
        <f>SUM(C33:C35)</f>
        <v>0</v>
      </c>
      <c r="D36" s="37">
        <f>D14+D22+D32+D34</f>
        <v>280</v>
      </c>
      <c r="E36" s="37">
        <f>E14+E22+E32+E34</f>
        <v>0</v>
      </c>
      <c r="F36" s="37">
        <f>F14+F22+F32+F34</f>
        <v>-437</v>
      </c>
      <c r="G36" s="37">
        <f>G14+G22+G32+G34</f>
        <v>343</v>
      </c>
      <c r="H36" s="37">
        <f>SUM(B36:G36)</f>
        <v>19172</v>
      </c>
      <c r="I36" s="44"/>
      <c r="J36" s="37">
        <f>J14+J22+J32+J34</f>
        <v>119</v>
      </c>
      <c r="K36" s="37">
        <f>K14+K22+K32+K34</f>
        <v>-539</v>
      </c>
      <c r="L36" s="37">
        <f>L14+L22+L32+L34</f>
        <v>366</v>
      </c>
      <c r="M36" s="45">
        <f>SUM(H36:L36)</f>
        <v>19118</v>
      </c>
      <c r="N36" s="37"/>
      <c r="O36" s="37">
        <f>O14+O22+O32+O34</f>
        <v>127</v>
      </c>
      <c r="P36" s="37">
        <f>P14+P22+P32+P34</f>
        <v>-539</v>
      </c>
      <c r="Q36" s="37">
        <f>Q14+Q22+Q32+Q34</f>
        <v>376</v>
      </c>
      <c r="R36" s="37">
        <f>SUM(M36:Q36)</f>
        <v>19082</v>
      </c>
      <c r="S36" s="37"/>
      <c r="T36" s="37">
        <f>T14+T22+T32+T34</f>
        <v>0</v>
      </c>
      <c r="U36" s="37">
        <f>U14+U22+U32+U34</f>
        <v>0</v>
      </c>
      <c r="V36" s="37">
        <f>V14+V22+V32+V34</f>
        <v>386</v>
      </c>
      <c r="W36" s="37">
        <f>SUM(R36:V36)</f>
        <v>19468</v>
      </c>
    </row>
    <row r="37" spans="1:18" s="12" customFormat="1" ht="12.75" customHeight="1">
      <c r="A37" s="13"/>
      <c r="B37" s="14"/>
      <c r="C37" s="14"/>
      <c r="D37" s="14"/>
      <c r="E37" s="15"/>
      <c r="F37" s="15"/>
      <c r="G37" s="15"/>
      <c r="H37" s="16"/>
      <c r="I37" s="14"/>
      <c r="J37" s="15"/>
      <c r="K37" s="15"/>
      <c r="L37" s="15"/>
      <c r="M37" s="15"/>
      <c r="N37" s="15"/>
      <c r="O37" s="14"/>
      <c r="P37" s="14"/>
      <c r="Q37" s="14"/>
      <c r="R37" s="14"/>
    </row>
    <row r="38" ht="13.5" customHeight="1">
      <c r="A38" s="17" t="s">
        <v>2</v>
      </c>
    </row>
    <row r="39" ht="12.75">
      <c r="A39" s="17" t="s">
        <v>25</v>
      </c>
    </row>
    <row r="40" ht="12.75">
      <c r="A40" s="17" t="s">
        <v>26</v>
      </c>
    </row>
    <row r="41" ht="12.75">
      <c r="A41" s="17" t="s">
        <v>27</v>
      </c>
    </row>
    <row r="42" ht="12.75">
      <c r="A42" s="17" t="s">
        <v>28</v>
      </c>
    </row>
    <row r="43" ht="12.75">
      <c r="A43" s="17" t="s">
        <v>29</v>
      </c>
    </row>
  </sheetData>
  <mergeCells count="4">
    <mergeCell ref="A3:W3"/>
    <mergeCell ref="D5:H5"/>
    <mergeCell ref="J5:M5"/>
    <mergeCell ref="O5:R5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headerFooter alignWithMargins="0">
    <oddHeader>&amp;R&amp;"Arial,Bold"Appendix 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114</v>
      </c>
      <c r="V1" s="1"/>
    </row>
    <row r="2" spans="1:22" ht="15.75">
      <c r="A2" s="1" t="s">
        <v>94</v>
      </c>
      <c r="V2" s="1"/>
    </row>
    <row r="3" spans="1:23" ht="15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5" spans="1:23" s="10" customFormat="1" ht="24.75" customHeight="1">
      <c r="A5" s="3"/>
      <c r="B5" s="4" t="s">
        <v>3</v>
      </c>
      <c r="C5" s="5"/>
      <c r="D5" s="60" t="s">
        <v>0</v>
      </c>
      <c r="E5" s="61"/>
      <c r="F5" s="61"/>
      <c r="G5" s="61"/>
      <c r="H5" s="62"/>
      <c r="I5" s="8"/>
      <c r="J5" s="63" t="s">
        <v>1</v>
      </c>
      <c r="K5" s="64"/>
      <c r="L5" s="64"/>
      <c r="M5" s="65"/>
      <c r="N5" s="9"/>
      <c r="O5" s="63" t="s">
        <v>4</v>
      </c>
      <c r="P5" s="64"/>
      <c r="Q5" s="64"/>
      <c r="R5" s="65"/>
      <c r="S5" s="9"/>
      <c r="T5" s="6" t="s">
        <v>5</v>
      </c>
      <c r="U5" s="6"/>
      <c r="V5" s="6"/>
      <c r="W5" s="7"/>
    </row>
    <row r="6" spans="1:23" s="26" customFormat="1" ht="90.75" customHeight="1">
      <c r="A6" s="11" t="s">
        <v>6</v>
      </c>
      <c r="B6" s="20" t="s">
        <v>12</v>
      </c>
      <c r="C6" s="21"/>
      <c r="D6" s="22" t="s">
        <v>13</v>
      </c>
      <c r="E6" s="22" t="s">
        <v>7</v>
      </c>
      <c r="F6" s="22" t="s">
        <v>14</v>
      </c>
      <c r="G6" s="22" t="s">
        <v>8</v>
      </c>
      <c r="H6" s="20" t="s">
        <v>15</v>
      </c>
      <c r="I6" s="23"/>
      <c r="J6" s="22" t="s">
        <v>16</v>
      </c>
      <c r="K6" s="22" t="s">
        <v>17</v>
      </c>
      <c r="L6" s="22" t="s">
        <v>9</v>
      </c>
      <c r="M6" s="24" t="s">
        <v>20</v>
      </c>
      <c r="N6" s="25"/>
      <c r="O6" s="22" t="s">
        <v>18</v>
      </c>
      <c r="P6" s="22" t="s">
        <v>19</v>
      </c>
      <c r="Q6" s="22" t="s">
        <v>10</v>
      </c>
      <c r="R6" s="20" t="s">
        <v>21</v>
      </c>
      <c r="S6" s="25"/>
      <c r="T6" s="22" t="s">
        <v>22</v>
      </c>
      <c r="U6" s="22" t="s">
        <v>23</v>
      </c>
      <c r="V6" s="22" t="s">
        <v>11</v>
      </c>
      <c r="W6" s="20" t="s">
        <v>24</v>
      </c>
    </row>
    <row r="7" spans="1:23" ht="24.75" customHeight="1">
      <c r="A7" s="43"/>
      <c r="B7" s="28"/>
      <c r="C7" s="29"/>
      <c r="D7" s="28"/>
      <c r="E7" s="28"/>
      <c r="F7" s="28"/>
      <c r="G7" s="28"/>
      <c r="H7" s="28"/>
      <c r="I7" s="29"/>
      <c r="J7" s="30"/>
      <c r="K7" s="28"/>
      <c r="L7" s="28"/>
      <c r="M7" s="31"/>
      <c r="N7" s="29"/>
      <c r="O7" s="30"/>
      <c r="P7" s="28"/>
      <c r="Q7" s="28"/>
      <c r="R7" s="28"/>
      <c r="S7" s="29"/>
      <c r="T7" s="30"/>
      <c r="U7" s="28"/>
      <c r="V7" s="28"/>
      <c r="W7" s="28"/>
    </row>
    <row r="8" spans="1:23" ht="24.75" customHeight="1">
      <c r="A8" s="40" t="s">
        <v>95</v>
      </c>
      <c r="B8" s="28">
        <v>28330</v>
      </c>
      <c r="C8" s="29"/>
      <c r="D8" s="28"/>
      <c r="E8" s="28"/>
      <c r="F8" s="28">
        <v>-649</v>
      </c>
      <c r="G8" s="28">
        <v>613</v>
      </c>
      <c r="H8" s="28">
        <f>SUM(B8:G8)</f>
        <v>28294</v>
      </c>
      <c r="I8" s="29"/>
      <c r="J8" s="30"/>
      <c r="K8" s="28"/>
      <c r="L8" s="28">
        <v>595</v>
      </c>
      <c r="M8" s="31">
        <f>SUM(H8:L8)</f>
        <v>28889</v>
      </c>
      <c r="N8" s="29"/>
      <c r="O8" s="30"/>
      <c r="P8" s="28"/>
      <c r="Q8" s="28">
        <v>574</v>
      </c>
      <c r="R8" s="28">
        <f>SUM(M8:Q8)</f>
        <v>29463</v>
      </c>
      <c r="S8" s="29"/>
      <c r="T8" s="30"/>
      <c r="U8" s="28"/>
      <c r="V8" s="28">
        <v>625</v>
      </c>
      <c r="W8" s="28">
        <f>SUM(R8:V8)</f>
        <v>30088</v>
      </c>
    </row>
    <row r="9" spans="1:23" ht="24.75" customHeight="1">
      <c r="A9" s="27" t="s">
        <v>96</v>
      </c>
      <c r="B9" s="28">
        <v>12898</v>
      </c>
      <c r="C9" s="29"/>
      <c r="D9" s="28"/>
      <c r="E9" s="28"/>
      <c r="F9" s="28">
        <v>-78</v>
      </c>
      <c r="G9" s="28">
        <v>301</v>
      </c>
      <c r="H9" s="28">
        <f>SUM(B9:G9)</f>
        <v>13121</v>
      </c>
      <c r="I9" s="29"/>
      <c r="J9" s="30"/>
      <c r="K9" s="28"/>
      <c r="L9" s="28">
        <v>309</v>
      </c>
      <c r="M9" s="31">
        <f>SUM(H9:L9)</f>
        <v>13430</v>
      </c>
      <c r="N9" s="29"/>
      <c r="O9" s="30"/>
      <c r="P9" s="28"/>
      <c r="Q9" s="28">
        <v>315</v>
      </c>
      <c r="R9" s="28">
        <f>SUM(M9:Q9)</f>
        <v>13745</v>
      </c>
      <c r="S9" s="29"/>
      <c r="T9" s="30"/>
      <c r="U9" s="28"/>
      <c r="V9" s="28">
        <v>323</v>
      </c>
      <c r="W9" s="28">
        <f>SUM(R9:V9)</f>
        <v>14068</v>
      </c>
    </row>
    <row r="10" spans="1:23" ht="24.75" customHeight="1">
      <c r="A10" s="27" t="s">
        <v>97</v>
      </c>
      <c r="B10" s="28">
        <v>8517</v>
      </c>
      <c r="C10" s="29"/>
      <c r="D10" s="28"/>
      <c r="E10" s="28"/>
      <c r="F10" s="28">
        <v>-177</v>
      </c>
      <c r="G10" s="28">
        <v>200</v>
      </c>
      <c r="H10" s="28">
        <f>SUM(B10:G10)</f>
        <v>8540</v>
      </c>
      <c r="I10" s="29"/>
      <c r="J10" s="30"/>
      <c r="K10" s="28"/>
      <c r="L10" s="28">
        <v>202</v>
      </c>
      <c r="M10" s="31">
        <f>SUM(H10:L10)</f>
        <v>8742</v>
      </c>
      <c r="N10" s="29"/>
      <c r="O10" s="30"/>
      <c r="P10" s="28"/>
      <c r="Q10" s="28">
        <v>207</v>
      </c>
      <c r="R10" s="28">
        <f>SUM(M10:Q10)</f>
        <v>8949</v>
      </c>
      <c r="S10" s="29"/>
      <c r="T10" s="30"/>
      <c r="U10" s="28"/>
      <c r="V10" s="28">
        <v>212</v>
      </c>
      <c r="W10" s="28">
        <f>SUM(R10:V10)</f>
        <v>9161</v>
      </c>
    </row>
    <row r="11" spans="1:23" ht="24.75" customHeight="1">
      <c r="A11" s="27" t="s">
        <v>98</v>
      </c>
      <c r="B11" s="28">
        <v>7733</v>
      </c>
      <c r="C11" s="29"/>
      <c r="D11" s="28"/>
      <c r="E11" s="28"/>
      <c r="F11" s="28">
        <v>-125</v>
      </c>
      <c r="G11" s="28">
        <v>199</v>
      </c>
      <c r="H11" s="28">
        <f aca="true" t="shared" si="0" ref="H11:H18">SUM(B11:G11)</f>
        <v>7807</v>
      </c>
      <c r="I11" s="29"/>
      <c r="J11" s="30"/>
      <c r="K11" s="28"/>
      <c r="L11" s="28">
        <v>204</v>
      </c>
      <c r="M11" s="31">
        <f aca="true" t="shared" si="1" ref="M11:M25">SUM(H11:L11)</f>
        <v>8011</v>
      </c>
      <c r="N11" s="29"/>
      <c r="O11" s="30"/>
      <c r="P11" s="28"/>
      <c r="Q11" s="28">
        <v>210</v>
      </c>
      <c r="R11" s="28">
        <f aca="true" t="shared" si="2" ref="R11:R25">SUM(M11:Q11)</f>
        <v>8221</v>
      </c>
      <c r="S11" s="29"/>
      <c r="T11" s="30"/>
      <c r="U11" s="28"/>
      <c r="V11" s="28">
        <v>216</v>
      </c>
      <c r="W11" s="28">
        <f aca="true" t="shared" si="3" ref="W11:W18">SUM(R11:V11)</f>
        <v>8437</v>
      </c>
    </row>
    <row r="12" spans="1:23" ht="24.75" customHeight="1">
      <c r="A12" s="27" t="s">
        <v>99</v>
      </c>
      <c r="B12" s="28">
        <v>234</v>
      </c>
      <c r="C12" s="29"/>
      <c r="D12" s="28"/>
      <c r="E12" s="28"/>
      <c r="F12" s="28">
        <v>-8</v>
      </c>
      <c r="G12" s="28">
        <v>6</v>
      </c>
      <c r="H12" s="28">
        <f t="shared" si="0"/>
        <v>232</v>
      </c>
      <c r="I12" s="29"/>
      <c r="J12" s="30"/>
      <c r="K12" s="28"/>
      <c r="L12" s="28">
        <v>6</v>
      </c>
      <c r="M12" s="31">
        <f t="shared" si="1"/>
        <v>238</v>
      </c>
      <c r="N12" s="29"/>
      <c r="O12" s="30"/>
      <c r="P12" s="28"/>
      <c r="Q12" s="28">
        <v>6</v>
      </c>
      <c r="R12" s="28">
        <f t="shared" si="2"/>
        <v>244</v>
      </c>
      <c r="S12" s="29"/>
      <c r="T12" s="30"/>
      <c r="U12" s="28"/>
      <c r="V12" s="28">
        <v>7</v>
      </c>
      <c r="W12" s="28">
        <f t="shared" si="3"/>
        <v>251</v>
      </c>
    </row>
    <row r="13" spans="1:23" ht="24.75" customHeight="1">
      <c r="A13" s="27" t="s">
        <v>100</v>
      </c>
      <c r="B13" s="28">
        <v>5537</v>
      </c>
      <c r="C13" s="29"/>
      <c r="D13" s="28">
        <v>177</v>
      </c>
      <c r="E13" s="28"/>
      <c r="F13" s="28">
        <v>-63</v>
      </c>
      <c r="G13" s="28">
        <v>139</v>
      </c>
      <c r="H13" s="28">
        <f t="shared" si="0"/>
        <v>5790</v>
      </c>
      <c r="I13" s="29"/>
      <c r="J13" s="30">
        <v>187</v>
      </c>
      <c r="K13" s="28"/>
      <c r="L13" s="28">
        <v>147</v>
      </c>
      <c r="M13" s="31">
        <f t="shared" si="1"/>
        <v>6124</v>
      </c>
      <c r="N13" s="29"/>
      <c r="O13" s="30">
        <v>198</v>
      </c>
      <c r="P13" s="28"/>
      <c r="Q13" s="28">
        <v>157</v>
      </c>
      <c r="R13" s="28">
        <f t="shared" si="2"/>
        <v>6479</v>
      </c>
      <c r="S13" s="29"/>
      <c r="T13" s="30"/>
      <c r="U13" s="28"/>
      <c r="V13" s="28">
        <v>167</v>
      </c>
      <c r="W13" s="28">
        <f t="shared" si="3"/>
        <v>6646</v>
      </c>
    </row>
    <row r="14" spans="1:23" ht="24.75" customHeight="1">
      <c r="A14" s="27"/>
      <c r="B14" s="28"/>
      <c r="C14" s="29"/>
      <c r="D14" s="28"/>
      <c r="E14" s="28"/>
      <c r="F14" s="28"/>
      <c r="G14" s="28"/>
      <c r="H14" s="28"/>
      <c r="I14" s="29"/>
      <c r="J14" s="30"/>
      <c r="K14" s="28"/>
      <c r="L14" s="28"/>
      <c r="M14" s="31"/>
      <c r="N14" s="29"/>
      <c r="O14" s="30"/>
      <c r="P14" s="28"/>
      <c r="Q14" s="28"/>
      <c r="R14" s="28"/>
      <c r="S14" s="29"/>
      <c r="T14" s="30"/>
      <c r="U14" s="28"/>
      <c r="V14" s="28"/>
      <c r="W14" s="28"/>
    </row>
    <row r="15" spans="1:23" ht="24.75" customHeight="1">
      <c r="A15" s="27" t="s">
        <v>103</v>
      </c>
      <c r="B15" s="28">
        <f>SUM(B8:B14)</f>
        <v>63249</v>
      </c>
      <c r="C15" s="29"/>
      <c r="D15" s="28">
        <f>SUM(D8:D14)</f>
        <v>177</v>
      </c>
      <c r="E15" s="28">
        <f>SUM(E8:E14)</f>
        <v>0</v>
      </c>
      <c r="F15" s="28">
        <f>SUM(F8:F14)</f>
        <v>-1100</v>
      </c>
      <c r="G15" s="28">
        <f>SUM(G8:G14)</f>
        <v>1458</v>
      </c>
      <c r="H15" s="28">
        <f>SUM(H8:H14)</f>
        <v>63784</v>
      </c>
      <c r="I15" s="29"/>
      <c r="J15" s="28">
        <f>SUM(J8:J14)</f>
        <v>187</v>
      </c>
      <c r="K15" s="28">
        <f>SUM(K8:K14)</f>
        <v>0</v>
      </c>
      <c r="L15" s="28">
        <f>SUM(L8:L14)</f>
        <v>1463</v>
      </c>
      <c r="M15" s="28">
        <f>SUM(M8:M14)</f>
        <v>65434</v>
      </c>
      <c r="N15" s="29"/>
      <c r="O15" s="28">
        <f>SUM(O8:O14)</f>
        <v>198</v>
      </c>
      <c r="P15" s="28">
        <f>SUM(P8:P14)</f>
        <v>0</v>
      </c>
      <c r="Q15" s="28">
        <f>SUM(Q8:Q14)</f>
        <v>1469</v>
      </c>
      <c r="R15" s="28">
        <f>SUM(R8:R14)</f>
        <v>67101</v>
      </c>
      <c r="S15" s="29"/>
      <c r="T15" s="28">
        <f>SUM(T8:T14)</f>
        <v>0</v>
      </c>
      <c r="U15" s="28">
        <f>SUM(U8:U14)</f>
        <v>0</v>
      </c>
      <c r="V15" s="28">
        <f>SUM(V8:V14)</f>
        <v>1550</v>
      </c>
      <c r="W15" s="28">
        <f>SUM(W8:W14)</f>
        <v>68651</v>
      </c>
    </row>
    <row r="16" spans="1:23" ht="24.75" customHeight="1">
      <c r="A16" s="27"/>
      <c r="B16" s="28"/>
      <c r="C16" s="29"/>
      <c r="D16" s="28"/>
      <c r="E16" s="28"/>
      <c r="F16" s="28"/>
      <c r="G16" s="28"/>
      <c r="H16" s="28"/>
      <c r="I16" s="29"/>
      <c r="J16" s="30"/>
      <c r="K16" s="28"/>
      <c r="L16" s="28"/>
      <c r="M16" s="31"/>
      <c r="N16" s="29"/>
      <c r="O16" s="30"/>
      <c r="P16" s="28"/>
      <c r="Q16" s="28"/>
      <c r="R16" s="28"/>
      <c r="S16" s="29"/>
      <c r="T16" s="30"/>
      <c r="U16" s="28"/>
      <c r="V16" s="28"/>
      <c r="W16" s="28"/>
    </row>
    <row r="17" spans="1:23" ht="24.75" customHeight="1">
      <c r="A17" s="27" t="s">
        <v>101</v>
      </c>
      <c r="B17" s="28">
        <v>1886</v>
      </c>
      <c r="C17" s="29"/>
      <c r="D17" s="28"/>
      <c r="E17" s="28"/>
      <c r="F17" s="28">
        <v>0</v>
      </c>
      <c r="G17" s="32">
        <v>38</v>
      </c>
      <c r="H17" s="28">
        <f t="shared" si="0"/>
        <v>1924</v>
      </c>
      <c r="I17" s="29"/>
      <c r="J17" s="30"/>
      <c r="K17" s="28"/>
      <c r="L17" s="32">
        <v>38</v>
      </c>
      <c r="M17" s="31">
        <f t="shared" si="1"/>
        <v>1962</v>
      </c>
      <c r="N17" s="29"/>
      <c r="O17" s="30"/>
      <c r="P17" s="28"/>
      <c r="Q17" s="32">
        <v>39</v>
      </c>
      <c r="R17" s="28">
        <f t="shared" si="2"/>
        <v>2001</v>
      </c>
      <c r="S17" s="29"/>
      <c r="T17" s="30"/>
      <c r="U17" s="28"/>
      <c r="V17" s="32">
        <v>40</v>
      </c>
      <c r="W17" s="28">
        <f t="shared" si="3"/>
        <v>2041</v>
      </c>
    </row>
    <row r="18" spans="1:23" ht="24.75" customHeight="1">
      <c r="A18" s="27" t="s">
        <v>102</v>
      </c>
      <c r="B18" s="28">
        <v>268</v>
      </c>
      <c r="C18" s="29"/>
      <c r="D18" s="28">
        <v>3</v>
      </c>
      <c r="E18" s="28"/>
      <c r="F18" s="28">
        <v>0</v>
      </c>
      <c r="G18" s="32">
        <v>8</v>
      </c>
      <c r="H18" s="28">
        <f t="shared" si="0"/>
        <v>279</v>
      </c>
      <c r="I18" s="29"/>
      <c r="J18" s="30">
        <v>4</v>
      </c>
      <c r="K18" s="28"/>
      <c r="L18" s="32">
        <v>8</v>
      </c>
      <c r="M18" s="31">
        <f t="shared" si="1"/>
        <v>291</v>
      </c>
      <c r="N18" s="29"/>
      <c r="O18" s="30">
        <v>4</v>
      </c>
      <c r="P18" s="28"/>
      <c r="Q18" s="32">
        <v>9</v>
      </c>
      <c r="R18" s="28">
        <f t="shared" si="2"/>
        <v>304</v>
      </c>
      <c r="S18" s="29"/>
      <c r="T18" s="30"/>
      <c r="U18" s="28"/>
      <c r="V18" s="32">
        <v>9</v>
      </c>
      <c r="W18" s="28">
        <f t="shared" si="3"/>
        <v>313</v>
      </c>
    </row>
    <row r="19" spans="1:23" ht="24.75" customHeight="1">
      <c r="A19" s="27"/>
      <c r="B19" s="28"/>
      <c r="C19" s="29"/>
      <c r="D19" s="28"/>
      <c r="E19" s="28"/>
      <c r="F19" s="28"/>
      <c r="G19" s="32"/>
      <c r="H19" s="28"/>
      <c r="I19" s="29"/>
      <c r="J19" s="30"/>
      <c r="K19" s="28"/>
      <c r="L19" s="32"/>
      <c r="M19" s="31"/>
      <c r="N19" s="29"/>
      <c r="O19" s="30"/>
      <c r="P19" s="28"/>
      <c r="Q19" s="32"/>
      <c r="R19" s="28"/>
      <c r="S19" s="29"/>
      <c r="T19" s="30"/>
      <c r="U19" s="28"/>
      <c r="V19" s="32"/>
      <c r="W19" s="28"/>
    </row>
    <row r="20" spans="1:23" ht="24.75" customHeight="1">
      <c r="A20" s="27" t="s">
        <v>104</v>
      </c>
      <c r="B20" s="28">
        <f>SUM(B17:B19)</f>
        <v>2154</v>
      </c>
      <c r="C20" s="29"/>
      <c r="D20" s="28">
        <f>SUM(D17:D19)</f>
        <v>3</v>
      </c>
      <c r="E20" s="28">
        <f>SUM(E17:E19)</f>
        <v>0</v>
      </c>
      <c r="F20" s="28">
        <f>SUM(F17:F19)</f>
        <v>0</v>
      </c>
      <c r="G20" s="28">
        <f>SUM(G17:G19)</f>
        <v>46</v>
      </c>
      <c r="H20" s="28">
        <f>SUM(H17:H19)</f>
        <v>2203</v>
      </c>
      <c r="I20" s="29"/>
      <c r="J20" s="28">
        <f>SUM(J17:J19)</f>
        <v>4</v>
      </c>
      <c r="K20" s="28">
        <f>SUM(K17:K19)</f>
        <v>0</v>
      </c>
      <c r="L20" s="28">
        <f>SUM(L17:L19)</f>
        <v>46</v>
      </c>
      <c r="M20" s="28">
        <f>SUM(M17:M19)</f>
        <v>2253</v>
      </c>
      <c r="N20" s="29"/>
      <c r="O20" s="28">
        <f>SUM(O17:O19)</f>
        <v>4</v>
      </c>
      <c r="P20" s="28">
        <f>SUM(P17:P19)</f>
        <v>0</v>
      </c>
      <c r="Q20" s="28">
        <f>SUM(Q17:Q19)</f>
        <v>48</v>
      </c>
      <c r="R20" s="28">
        <f>SUM(R17:R19)</f>
        <v>2305</v>
      </c>
      <c r="S20" s="29"/>
      <c r="T20" s="28">
        <f>SUM(T17:T19)</f>
        <v>0</v>
      </c>
      <c r="U20" s="28">
        <f>SUM(U17:U19)</f>
        <v>0</v>
      </c>
      <c r="V20" s="28">
        <f>SUM(V17:V19)</f>
        <v>49</v>
      </c>
      <c r="W20" s="28">
        <f>SUM(W17:W19)</f>
        <v>2354</v>
      </c>
    </row>
    <row r="21" spans="1:23" ht="24.75" customHeight="1">
      <c r="A21" s="27"/>
      <c r="B21" s="28"/>
      <c r="C21" s="29"/>
      <c r="D21" s="28"/>
      <c r="E21" s="28"/>
      <c r="F21" s="28"/>
      <c r="G21" s="28"/>
      <c r="H21" s="28"/>
      <c r="I21" s="29"/>
      <c r="J21" s="30"/>
      <c r="K21" s="28"/>
      <c r="L21" s="28"/>
      <c r="M21" s="31"/>
      <c r="N21" s="29"/>
      <c r="O21" s="30"/>
      <c r="P21" s="28"/>
      <c r="Q21" s="28"/>
      <c r="R21" s="28"/>
      <c r="S21" s="29"/>
      <c r="T21" s="30"/>
      <c r="U21" s="28"/>
      <c r="V21" s="28"/>
      <c r="W21" s="28"/>
    </row>
    <row r="22" spans="1:23" s="17" customFormat="1" ht="24.75" customHeight="1">
      <c r="A22" s="46" t="s">
        <v>46</v>
      </c>
      <c r="B22" s="37">
        <f>B15+B20</f>
        <v>65403</v>
      </c>
      <c r="C22" s="37">
        <f>SUM(C7:C21)</f>
        <v>0</v>
      </c>
      <c r="D22" s="37">
        <f>D15+D20</f>
        <v>180</v>
      </c>
      <c r="E22" s="37">
        <f>E15+E20</f>
        <v>0</v>
      </c>
      <c r="F22" s="37">
        <f>F15+F20</f>
        <v>-1100</v>
      </c>
      <c r="G22" s="37">
        <f>G15+G20</f>
        <v>1504</v>
      </c>
      <c r="H22" s="37">
        <f>H15+H20</f>
        <v>65987</v>
      </c>
      <c r="I22" s="47"/>
      <c r="J22" s="37">
        <f>J15+J20</f>
        <v>191</v>
      </c>
      <c r="K22" s="37">
        <f>K15+K20</f>
        <v>0</v>
      </c>
      <c r="L22" s="37">
        <f>L15+L20</f>
        <v>1509</v>
      </c>
      <c r="M22" s="37">
        <f>M15+M20</f>
        <v>67687</v>
      </c>
      <c r="N22" s="47"/>
      <c r="O22" s="37">
        <f>O15+O20</f>
        <v>202</v>
      </c>
      <c r="P22" s="37">
        <f>P15+P20</f>
        <v>0</v>
      </c>
      <c r="Q22" s="37">
        <f>Q15+Q20</f>
        <v>1517</v>
      </c>
      <c r="R22" s="37">
        <f>R15+R20</f>
        <v>69406</v>
      </c>
      <c r="S22" s="47"/>
      <c r="T22" s="37">
        <f>T15+T20</f>
        <v>0</v>
      </c>
      <c r="U22" s="37">
        <f>U15+U20</f>
        <v>0</v>
      </c>
      <c r="V22" s="37">
        <f>V15+V20</f>
        <v>1599</v>
      </c>
      <c r="W22" s="37">
        <f>W15+W20</f>
        <v>71005</v>
      </c>
    </row>
    <row r="23" spans="1:23" ht="24.75" customHeight="1">
      <c r="A23" s="18" t="s">
        <v>47</v>
      </c>
      <c r="B23" s="28">
        <v>0</v>
      </c>
      <c r="C23" s="29"/>
      <c r="D23" s="28"/>
      <c r="E23" s="28"/>
      <c r="F23" s="28"/>
      <c r="G23" s="28"/>
      <c r="H23" s="28">
        <f>SUM(B23:G23)</f>
        <v>0</v>
      </c>
      <c r="I23" s="29"/>
      <c r="J23" s="28"/>
      <c r="K23" s="28">
        <v>-1109</v>
      </c>
      <c r="L23" s="28"/>
      <c r="M23" s="31">
        <f t="shared" si="1"/>
        <v>-1109</v>
      </c>
      <c r="N23" s="29"/>
      <c r="O23" s="30"/>
      <c r="P23" s="28">
        <v>-1118</v>
      </c>
      <c r="Q23" s="28"/>
      <c r="R23" s="28">
        <f t="shared" si="2"/>
        <v>-2227</v>
      </c>
      <c r="S23" s="29"/>
      <c r="T23" s="28"/>
      <c r="U23" s="28"/>
      <c r="V23" s="28"/>
      <c r="W23" s="28">
        <f>SUM(R23:V23)</f>
        <v>-2227</v>
      </c>
    </row>
    <row r="24" spans="1:23" s="19" customFormat="1" ht="24.75" customHeight="1">
      <c r="A24" s="35"/>
      <c r="B24" s="33"/>
      <c r="C24" s="34"/>
      <c r="D24" s="33"/>
      <c r="E24" s="33"/>
      <c r="F24" s="33"/>
      <c r="G24" s="33"/>
      <c r="H24" s="28"/>
      <c r="I24" s="34"/>
      <c r="J24" s="33"/>
      <c r="K24" s="33"/>
      <c r="L24" s="33"/>
      <c r="M24" s="31"/>
      <c r="N24" s="33"/>
      <c r="O24" s="33"/>
      <c r="P24" s="33"/>
      <c r="Q24" s="33"/>
      <c r="R24" s="28"/>
      <c r="S24" s="33"/>
      <c r="T24" s="33"/>
      <c r="U24" s="33"/>
      <c r="V24" s="33"/>
      <c r="W24" s="28"/>
    </row>
    <row r="25" spans="1:23" s="39" customFormat="1" ht="34.5" customHeight="1">
      <c r="A25" s="38" t="s">
        <v>46</v>
      </c>
      <c r="B25" s="37">
        <f aca="true" t="shared" si="4" ref="B25:G25">SUM(B22:B24)</f>
        <v>65403</v>
      </c>
      <c r="C25" s="37">
        <f t="shared" si="4"/>
        <v>0</v>
      </c>
      <c r="D25" s="37">
        <f t="shared" si="4"/>
        <v>180</v>
      </c>
      <c r="E25" s="37">
        <f t="shared" si="4"/>
        <v>0</v>
      </c>
      <c r="F25" s="37">
        <f t="shared" si="4"/>
        <v>-1100</v>
      </c>
      <c r="G25" s="37">
        <f t="shared" si="4"/>
        <v>1504</v>
      </c>
      <c r="H25" s="37">
        <f>SUM(B25:G25)</f>
        <v>65987</v>
      </c>
      <c r="I25" s="44"/>
      <c r="J25" s="37">
        <f>SUM(J22:J24)</f>
        <v>191</v>
      </c>
      <c r="K25" s="37">
        <f>SUM(K22:K24)</f>
        <v>-1109</v>
      </c>
      <c r="L25" s="37">
        <f>SUM(L22:L24)</f>
        <v>1509</v>
      </c>
      <c r="M25" s="45">
        <f t="shared" si="1"/>
        <v>66578</v>
      </c>
      <c r="N25" s="37"/>
      <c r="O25" s="37">
        <f>SUM(O22:O24)</f>
        <v>202</v>
      </c>
      <c r="P25" s="37">
        <f>SUM(P22:P24)</f>
        <v>-1118</v>
      </c>
      <c r="Q25" s="37">
        <f>SUM(Q22:Q24)</f>
        <v>1517</v>
      </c>
      <c r="R25" s="37">
        <f t="shared" si="2"/>
        <v>67179</v>
      </c>
      <c r="S25" s="37"/>
      <c r="T25" s="37">
        <f>SUM(T22:T24)</f>
        <v>0</v>
      </c>
      <c r="U25" s="37">
        <f>SUM(U22:U24)</f>
        <v>0</v>
      </c>
      <c r="V25" s="37">
        <f>SUM(V22:V24)</f>
        <v>1599</v>
      </c>
      <c r="W25" s="37">
        <f>SUM(R25:V25)</f>
        <v>68778</v>
      </c>
    </row>
    <row r="26" spans="1:18" s="12" customFormat="1" ht="12.75" customHeight="1">
      <c r="A26" s="13"/>
      <c r="B26" s="14"/>
      <c r="C26" s="14"/>
      <c r="D26" s="14"/>
      <c r="E26" s="15"/>
      <c r="F26" s="15"/>
      <c r="G26" s="15"/>
      <c r="H26" s="16"/>
      <c r="I26" s="14"/>
      <c r="J26" s="15"/>
      <c r="K26" s="15"/>
      <c r="L26" s="15"/>
      <c r="M26" s="15"/>
      <c r="N26" s="15"/>
      <c r="O26" s="14"/>
      <c r="P26" s="14"/>
      <c r="Q26" s="14"/>
      <c r="R26" s="14"/>
    </row>
    <row r="27" ht="13.5" customHeight="1">
      <c r="A27" s="17" t="s">
        <v>2</v>
      </c>
    </row>
    <row r="28" ht="12.75">
      <c r="A28" s="17" t="s">
        <v>25</v>
      </c>
    </row>
    <row r="29" ht="12.75">
      <c r="A29" s="17" t="s">
        <v>26</v>
      </c>
    </row>
    <row r="30" ht="12.75">
      <c r="A30" s="17" t="s">
        <v>27</v>
      </c>
    </row>
    <row r="31" ht="12.75">
      <c r="A31" s="17" t="s">
        <v>28</v>
      </c>
    </row>
    <row r="32" ht="12.75">
      <c r="A32" s="17" t="s">
        <v>29</v>
      </c>
    </row>
  </sheetData>
  <mergeCells count="4">
    <mergeCell ref="A3:W3"/>
    <mergeCell ref="D5:H5"/>
    <mergeCell ref="J5:M5"/>
    <mergeCell ref="O5:R5"/>
  </mergeCells>
  <printOptions/>
  <pageMargins left="0.75" right="0.75" top="1" bottom="1" header="0.5" footer="0.5"/>
  <pageSetup fitToHeight="1" fitToWidth="1" horizontalDpi="600" verticalDpi="600" orientation="landscape" paperSize="9" scale="59" r:id="rId2"/>
  <headerFooter alignWithMargins="0">
    <oddHeader>&amp;R&amp;"Arial,Bold"Appendix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moorec</dc:creator>
  <cp:keywords/>
  <dc:description/>
  <cp:lastModifiedBy>Zebunnissa Ali</cp:lastModifiedBy>
  <cp:lastPrinted>2005-12-02T12:11:13Z</cp:lastPrinted>
  <dcterms:created xsi:type="dcterms:W3CDTF">2005-01-31T10:31:28Z</dcterms:created>
  <dcterms:modified xsi:type="dcterms:W3CDTF">2005-12-02T12:21:28Z</dcterms:modified>
  <cp:category/>
  <cp:version/>
  <cp:contentType/>
  <cp:contentStatus/>
</cp:coreProperties>
</file>